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4545" tabRatio="847" activeTab="0"/>
  </bookViews>
  <sheets>
    <sheet name="Spec's" sheetId="1" r:id="rId1"/>
    <sheet name="DriverDb" sheetId="2" r:id="rId2"/>
    <sheet name="Limited SPL" sheetId="3" r:id="rId3"/>
    <sheet name="Vp &amp; Ip" sheetId="4" r:id="rId4"/>
    <sheet name="Power &amp; SPL" sheetId="5" r:id="rId5"/>
    <sheet name="SPL @ 2.83V" sheetId="6" r:id="rId6"/>
    <sheet name="SPL &amp; Ip @ 10Vp" sheetId="7" r:id="rId7"/>
    <sheet name="max SPL @ Vpeak" sheetId="8" r:id="rId8"/>
    <sheet name="Impedance" sheetId="9" r:id="rId9"/>
    <sheet name="Test" sheetId="10" r:id="rId10"/>
    <sheet name="EQ" sheetId="11" r:id="rId11"/>
  </sheets>
  <definedNames>
    <definedName name="Bl">'DriverDb'!$G$2:$G$25</definedName>
    <definedName name="CheckCMS">'DriverDb'!$W$2:$W$25</definedName>
    <definedName name="ChosenBl">#REF!</definedName>
    <definedName name="ChosenCms">#REF!</definedName>
    <definedName name="ChosenDriver">'Spec''s'!$U$6</definedName>
    <definedName name="ChosenFs">#REF!</definedName>
    <definedName name="ChosenLe">#REF!</definedName>
    <definedName name="ChosenMms">#REF!</definedName>
    <definedName name="ChosenModel">#REF!</definedName>
    <definedName name="ChosenQes">#REF!</definedName>
    <definedName name="ChosenQms">#REF!</definedName>
    <definedName name="ChosenQts">#REF!</definedName>
    <definedName name="ChosenRe">#REF!</definedName>
    <definedName name="ChosenRms">#REF!</definedName>
    <definedName name="ChosenSd">#REF!</definedName>
    <definedName name="ChosenVAS">#REF!</definedName>
    <definedName name="ChosenXmax">#REF!</definedName>
    <definedName name="Cms">'DriverDb'!$J$2:$J$25</definedName>
    <definedName name="Fs">'DriverDb'!$F$2:$F$25</definedName>
    <definedName name="Le">'DriverDb'!$E$2:$E$25</definedName>
    <definedName name="Mms">'DriverDb'!$I$2:$I$25</definedName>
    <definedName name="Model">'DriverDb'!$A$2:$A$25</definedName>
    <definedName name="Price">'DriverDb'!$B$2:$B$25</definedName>
    <definedName name="_xlnm.Print_Area" localSheetId="0">'Spec''s'!$A$1:$X$59</definedName>
    <definedName name="Qes">'DriverDb'!$O$2:$O$25</definedName>
    <definedName name="Qms">'DriverDb'!$N$2:$N$25</definedName>
    <definedName name="Qts">'DriverDb'!$P$2:$P$25</definedName>
    <definedName name="Re">'DriverDb'!$D$2:$D$25</definedName>
    <definedName name="Rms">'DriverDb'!$H$2:$H$25</definedName>
    <definedName name="Sd">'DriverDb'!$L$2:$L$25</definedName>
    <definedName name="VAS">'DriverDb'!$K$2:$K$25</definedName>
    <definedName name="Xmax">'DriverDb'!$M$2:$M$25</definedName>
  </definedNames>
  <calcPr fullCalcOnLoad="1"/>
</workbook>
</file>

<file path=xl/sharedStrings.xml><?xml version="1.0" encoding="utf-8"?>
<sst xmlns="http://schemas.openxmlformats.org/spreadsheetml/2006/main" count="348" uniqueCount="211">
  <si>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</si>
  <si>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</si>
  <si>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</si>
  <si>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</si>
  <si>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</si>
  <si>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</si>
  <si>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</si>
  <si>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</si>
  <si>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</si>
  <si>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</si>
  <si>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</si>
  <si>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</si>
  <si>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</si>
  <si>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</si>
  <si>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</si>
  <si>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</si>
  <si>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</si>
  <si>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</si>
  <si>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</si>
  <si>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</si>
  <si>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</si>
  <si>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</si>
  <si>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</si>
  <si>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</si>
  <si>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</si>
  <si>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</si>
  <si>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</si>
  <si>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</si>
  <si>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</si>
  <si>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</si>
  <si>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</si>
  <si>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</si>
  <si>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</si>
  <si>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</si>
  <si>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</si>
  <si>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</si>
  <si>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</si>
  <si>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</si>
  <si>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</si>
  <si>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</si>
  <si>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</si>
  <si>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</si>
  <si>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</si>
  <si>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</si>
  <si>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</si>
  <si>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</si>
  <si>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</si>
  <si>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</si>
  <si>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</si>
  <si>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</si>
  <si>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</si>
  <si>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</si>
  <si>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</si>
  <si>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</si>
  <si>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</si>
  <si>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</si>
  <si>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</si>
  <si>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</si>
  <si>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</si>
  <si>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</si>
  <si>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</si>
  <si>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</si>
  <si>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</si>
  <si>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</si>
  <si>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</si>
  <si>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</si>
  <si>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</si>
  <si>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</si>
  <si>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</si>
  <si>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</si>
  <si>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</si>
  <si>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</si>
  <si>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</si>
  <si>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</si>
  <si>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</si>
  <si>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</si>
  <si>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</si>
  <si>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</si>
  <si>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</si>
  <si>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</si>
  <si>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</si>
  <si>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</si>
  <si>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</si>
  <si>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</si>
  <si>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</si>
  <si>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</si>
  <si>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</si>
  <si>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</si>
  <si>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</si>
  <si>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</si>
  <si>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</si>
  <si>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</si>
  <si>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</si>
  <si>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</si>
  <si>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</si>
  <si>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</si>
  <si>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</si>
  <si>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</si>
  <si>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</si>
  <si>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</si>
  <si>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</si>
  <si>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</si>
  <si>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</si>
  <si>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</si>
  <si>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</si>
  <si>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</si>
  <si>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</si>
  <si>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</si>
  <si>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</si>
  <si>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</si>
  <si>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</si>
  <si>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</si>
  <si>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</si>
  <si>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</si>
  <si>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</si>
  <si>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</si>
  <si>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</si>
  <si>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</si>
  <si>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</si>
  <si>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</si>
  <si>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</si>
  <si>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</si>
  <si>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</si>
  <si>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</si>
  <si>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</si>
  <si>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</si>
  <si>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</si>
  <si>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</si>
  <si>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</si>
  <si>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</si>
  <si>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</si>
  <si>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</si>
  <si>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</si>
  <si>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</si>
  <si>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</si>
  <si>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</si>
  <si>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</si>
  <si>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</si>
  <si>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</si>
  <si>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</si>
  <si>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</si>
  <si>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</si>
  <si>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</si>
  <si>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</si>
  <si>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</si>
  <si>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</si>
  <si>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</si>
  <si>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</si>
  <si>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</si>
  <si>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</si>
  <si>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</si>
  <si>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</si>
  <si>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</si>
  <si>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</si>
  <si>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</si>
  <si>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</si>
  <si>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</si>
  <si>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</si>
  <si>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</si>
  <si>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</si>
  <si>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</si>
  <si>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</si>
  <si>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</si>
  <si>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</si>
  <si>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</si>
  <si>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</si>
  <si>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</si>
  <si>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</si>
  <si>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Model</t>
  </si>
  <si>
    <t>Bl</t>
  </si>
  <si>
    <t>Qms</t>
  </si>
  <si>
    <t>Qes</t>
  </si>
  <si>
    <t>Qts</t>
  </si>
  <si>
    <t>CheckCms</t>
  </si>
  <si>
    <t>CheckQts</t>
  </si>
  <si>
    <t>CheckFs</t>
  </si>
  <si>
    <t>CheckQms</t>
  </si>
  <si>
    <t>CheckQes</t>
  </si>
  <si>
    <t>QmsError</t>
  </si>
  <si>
    <t>QesError</t>
  </si>
  <si>
    <t>QtsError</t>
  </si>
  <si>
    <t>FsError</t>
  </si>
  <si>
    <t>Re
(ohms )</t>
  </si>
  <si>
    <t>Le
(mH)</t>
  </si>
  <si>
    <t>Fs
(Hz)</t>
  </si>
  <si>
    <t>Rms
(Ns/m)</t>
  </si>
  <si>
    <t>Mms
(g)</t>
  </si>
  <si>
    <t>Cms
(mm/N)</t>
  </si>
  <si>
    <t>VAS
(ltr)</t>
  </si>
  <si>
    <t>Sd
(cm2)</t>
  </si>
  <si>
    <t>Xmax
(mm)</t>
  </si>
  <si>
    <t>Driver 5</t>
  </si>
  <si>
    <t>Peerless 830668 - SL Data</t>
  </si>
  <si>
    <t>Peerless 830668 - AS Data</t>
  </si>
  <si>
    <t>Peerless 830452 - 10" XLS</t>
  </si>
  <si>
    <t>Peerless 830669 - 12" SLS</t>
  </si>
  <si>
    <t>Peerless 830845 - 12" XXLS</t>
  </si>
  <si>
    <t>Vifa NE265W-04 10" Woofer</t>
  </si>
  <si>
    <t>Vifa NE315W-04 12" Woofer</t>
  </si>
  <si>
    <t>6/21/10 AS</t>
  </si>
  <si>
    <t>Seas D1001-04 L26ROY 10"</t>
  </si>
  <si>
    <t>SB Acous. SW26DAC76-4 10"</t>
  </si>
  <si>
    <t>SB Acous. SW26DAC76-8 10"</t>
  </si>
  <si>
    <t>Seas A26RE4 H1411 10"</t>
  </si>
  <si>
    <t>Seas CA26RE4X H1316 10"</t>
  </si>
  <si>
    <t>Seas CA26RFX H1305 10"</t>
  </si>
  <si>
    <t>Seas L26RFX/P H1209 10"</t>
  </si>
  <si>
    <t>Seas W26FX002 E0046 10"</t>
  </si>
  <si>
    <t>Seas W26FX001 E0026 10"</t>
  </si>
  <si>
    <t>Price</t>
  </si>
  <si>
    <t>Madisound 
Price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</si>
</sst>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0"/>
    <numFmt numFmtId="177" formatCode="0.00000"/>
    <numFmt numFmtId="178" formatCode="[$$-409]#,##0.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409]#,##0.0"/>
    <numFmt numFmtId="182" formatCode="[$$-409]#,##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7.2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Alignment="1">
      <alignment/>
    </xf>
    <xf numFmtId="172" fontId="0" fillId="0" borderId="0" xfId="21" applyNumberFormat="1" applyAlignment="1">
      <alignment/>
    </xf>
    <xf numFmtId="175" fontId="1" fillId="0" borderId="0" xfId="21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5" fontId="1" fillId="3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3" borderId="0" xfId="0" applyFont="1" applyFill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0" xfId="17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775"/>
          <c:w val="0.878"/>
          <c:h val="0.884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/>
            </c:numRef>
          </c:cat>
          <c:val>
            <c:numRef>
              <c:f>'Spec''s'!$AV$164:$AV$191</c:f>
              <c:numCache/>
            </c:numRef>
          </c:val>
          <c:smooth val="0"/>
        </c:ser>
        <c:marker val="1"/>
        <c:axId val="39033372"/>
        <c:axId val="15756029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'Spec''s'!$AK$164:$AK$191</c:f>
              <c:numCache/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'Spec''s'!$AW$164:$AW$191</c:f>
              <c:numCache/>
            </c:numRef>
          </c:val>
          <c:smooth val="0"/>
        </c:ser>
        <c:marker val="1"/>
        <c:axId val="7586534"/>
        <c:axId val="1169943"/>
      </c:lineChart>
      <c:catAx>
        <c:axId val="39033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 val="autoZero"/>
        <c:auto val="1"/>
        <c:lblOffset val="100"/>
        <c:noMultiLvlLbl val="0"/>
      </c:catAx>
      <c:valAx>
        <c:axId val="1575602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3372"/>
        <c:crossesAt val="1"/>
        <c:crossBetween val="between"/>
        <c:dispUnits/>
      </c:valAx>
      <c:catAx>
        <c:axId val="7586534"/>
        <c:scaling>
          <c:orientation val="minMax"/>
        </c:scaling>
        <c:axPos val="b"/>
        <c:delete val="1"/>
        <c:majorTickMark val="in"/>
        <c:minorTickMark val="none"/>
        <c:tickLblPos val="nextTo"/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7586534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725"/>
          <c:y val="0.24925"/>
          <c:w val="0.140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2425"/>
          <c:h val="0.8387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'Spec''s'!$AN$164:$AN$191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'Spec''s'!$AO$164:$AO$191</c:f>
              <c:numCache>
                <c:ptCount val="28"/>
                <c:pt idx="0">
                  <c:v>23.028137761782737</c:v>
                </c:pt>
                <c:pt idx="1">
                  <c:v>22.632752867655967</c:v>
                </c:pt>
                <c:pt idx="2">
                  <c:v>22.171395422361186</c:v>
                </c:pt>
                <c:pt idx="3">
                  <c:v>21.63672006989755</c:v>
                </c:pt>
                <c:pt idx="4">
                  <c:v>21.02165103922966</c:v>
                </c:pt>
                <c:pt idx="5">
                  <c:v>20.319671008683393</c:v>
                </c:pt>
                <c:pt idx="6">
                  <c:v>19.52509538739222</c:v>
                </c:pt>
                <c:pt idx="7">
                  <c:v>18.633296136419737</c:v>
                </c:pt>
                <c:pt idx="8">
                  <c:v>17.640845539841763</c:v>
                </c:pt>
                <c:pt idx="9">
                  <c:v>16.545569349024028</c:v>
                </c:pt>
                <c:pt idx="10">
                  <c:v>15.346532683596706</c:v>
                </c:pt>
                <c:pt idx="11">
                  <c:v>14.044034462748954</c:v>
                </c:pt>
                <c:pt idx="12">
                  <c:v>12.639766647193255</c:v>
                </c:pt>
                <c:pt idx="13">
                  <c:v>11.137426758566178</c:v>
                </c:pt>
                <c:pt idx="14">
                  <c:v>9.544300535552836</c:v>
                </c:pt>
                <c:pt idx="15">
                  <c:v>7.874709539041191</c:v>
                </c:pt>
                <c:pt idx="16">
                  <c:v>6.156695732524909</c:v>
                </c:pt>
                <c:pt idx="17">
                  <c:v>4.443260322732371</c:v>
                </c:pt>
                <c:pt idx="18">
                  <c:v>2.8264081375835275</c:v>
                </c:pt>
                <c:pt idx="19">
                  <c:v>1.4413168161903087</c:v>
                </c:pt>
                <c:pt idx="20">
                  <c:v>0.4329701560284889</c:v>
                </c:pt>
                <c:pt idx="21">
                  <c:v>-0.12230936757104871</c:v>
                </c:pt>
                <c:pt idx="22">
                  <c:v>-0.27158492748165486</c:v>
                </c:pt>
                <c:pt idx="23">
                  <c:v>-0.1459648367380737</c:v>
                </c:pt>
                <c:pt idx="24">
                  <c:v>0.12100252823113067</c:v>
                </c:pt>
                <c:pt idx="25">
                  <c:v>0.43653448885378054</c:v>
                </c:pt>
                <c:pt idx="26">
                  <c:v>0.749174426968068</c:v>
                </c:pt>
                <c:pt idx="27">
                  <c:v>1.0350585942314297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'Spec''s'!$AP$164:$AP$191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1187260"/>
        <c:axId val="10685341"/>
      </c:lineChart>
      <c:catAx>
        <c:axId val="118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72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422"/>
          <c:w val="0.1725"/>
          <c:h val="0.2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45"/>
          <c:w val="0.87525"/>
          <c:h val="0.83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'Spec''s'!$AV$164:$AV$191</c:f>
              <c:numCache>
                <c:ptCount val="28"/>
                <c:pt idx="0">
                  <c:v>112.69655032159277</c:v>
                </c:pt>
                <c:pt idx="1">
                  <c:v>112.49217332734982</c:v>
                </c:pt>
                <c:pt idx="2">
                  <c:v>112.24043488317216</c:v>
                </c:pt>
                <c:pt idx="3">
                  <c:v>111.92966203955902</c:v>
                </c:pt>
                <c:pt idx="4">
                  <c:v>111.54496376319686</c:v>
                </c:pt>
                <c:pt idx="5">
                  <c:v>111.06718053660106</c:v>
                </c:pt>
                <c:pt idx="6">
                  <c:v>110.47141653076989</c:v>
                </c:pt>
                <c:pt idx="7">
                  <c:v>109.72495650150583</c:v>
                </c:pt>
                <c:pt idx="8">
                  <c:v>108.78426296454658</c:v>
                </c:pt>
                <c:pt idx="9">
                  <c:v>107.59058115974956</c:v>
                </c:pt>
                <c:pt idx="10">
                  <c:v>106.06341609275108</c:v>
                </c:pt>
                <c:pt idx="11">
                  <c:v>104.0907439756668</c:v>
                </c:pt>
                <c:pt idx="12">
                  <c:v>101.51424739942455</c:v>
                </c:pt>
                <c:pt idx="13">
                  <c:v>98.10719400500413</c:v>
                </c:pt>
                <c:pt idx="14">
                  <c:v>93.54233729993308</c:v>
                </c:pt>
                <c:pt idx="15">
                  <c:v>87.34949149979167</c:v>
                </c:pt>
                <c:pt idx="16">
                  <c:v>78.8741066520521</c:v>
                </c:pt>
                <c:pt idx="17">
                  <c:v>67.28916618997161</c:v>
                </c:pt>
                <c:pt idx="18">
                  <c:v>51.835987119774664</c:v>
                </c:pt>
                <c:pt idx="19">
                  <c:v>32.90216278261564</c:v>
                </c:pt>
                <c:pt idx="20">
                  <c:v>18.25824146234762</c:v>
                </c:pt>
                <c:pt idx="21">
                  <c:v>30.302702647535433</c:v>
                </c:pt>
                <c:pt idx="22">
                  <c:v>51.81502171076152</c:v>
                </c:pt>
                <c:pt idx="23">
                  <c:v>70.42605504357903</c:v>
                </c:pt>
                <c:pt idx="24">
                  <c:v>84.39405949615701</c:v>
                </c:pt>
                <c:pt idx="25">
                  <c:v>94.25743231105638</c:v>
                </c:pt>
                <c:pt idx="26">
                  <c:v>101.02966102977511</c:v>
                </c:pt>
                <c:pt idx="27">
                  <c:v>105.60234095630685</c:v>
                </c:pt>
              </c:numCache>
            </c:numRef>
          </c:val>
          <c:smooth val="0"/>
        </c:ser>
        <c:marker val="1"/>
        <c:axId val="10529488"/>
        <c:axId val="27656529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marker val="1"/>
        <c:axId val="47582170"/>
        <c:axId val="25586347"/>
      </c:lineChart>
      <c:catAx>
        <c:axId val="1052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29488"/>
        <c:crossesAt val="1"/>
        <c:crossBetween val="between"/>
        <c:dispUnits/>
      </c:valAx>
      <c:catAx>
        <c:axId val="47582170"/>
        <c:scaling>
          <c:orientation val="minMax"/>
        </c:scaling>
        <c:axPos val="b"/>
        <c:delete val="1"/>
        <c:majorTickMark val="in"/>
        <c:minorTickMark val="none"/>
        <c:tickLblPos val="nextTo"/>
        <c:crossAx val="25586347"/>
        <c:crosses val="autoZero"/>
        <c:auto val="1"/>
        <c:lblOffset val="100"/>
        <c:noMultiLvlLbl val="0"/>
      </c:catAx>
      <c:valAx>
        <c:axId val="25586347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7582170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325"/>
          <c:y val="0.242"/>
          <c:w val="0.1685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5"/>
          <c:w val="0.902"/>
          <c:h val="0.7957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'Spec''s'!$AF$164:$AF$191</c:f>
              <c:numCache>
                <c:ptCount val="28"/>
                <c:pt idx="0">
                  <c:v>96.83322946516758</c:v>
                </c:pt>
                <c:pt idx="1">
                  <c:v>96.57697543618116</c:v>
                </c:pt>
                <c:pt idx="2">
                  <c:v>96.26593781058429</c:v>
                </c:pt>
                <c:pt idx="3">
                  <c:v>95.88878885406277</c:v>
                </c:pt>
                <c:pt idx="4">
                  <c:v>95.43206206534948</c:v>
                </c:pt>
                <c:pt idx="5">
                  <c:v>94.87986361789065</c:v>
                </c:pt>
                <c:pt idx="6">
                  <c:v>94.21361949403078</c:v>
                </c:pt>
                <c:pt idx="7">
                  <c:v>93.41192405133286</c:v>
                </c:pt>
                <c:pt idx="8">
                  <c:v>92.45060693445856</c:v>
                </c:pt>
                <c:pt idx="9">
                  <c:v>91.30322316226429</c:v>
                </c:pt>
                <c:pt idx="10">
                  <c:v>89.94232312908963</c:v>
                </c:pt>
                <c:pt idx="11">
                  <c:v>88.34212336178994</c:v>
                </c:pt>
                <c:pt idx="12">
                  <c:v>86.48365949862801</c:v>
                </c:pt>
                <c:pt idx="13">
                  <c:v>84.36430165245552</c:v>
                </c:pt>
                <c:pt idx="14">
                  <c:v>82.01485967705544</c:v>
                </c:pt>
                <c:pt idx="15">
                  <c:v>79.52960324054246</c:v>
                </c:pt>
                <c:pt idx="16">
                  <c:v>77.11708147572315</c:v>
                </c:pt>
                <c:pt idx="17">
                  <c:v>75.18007684130153</c:v>
                </c:pt>
                <c:pt idx="18">
                  <c:v>74.42201462459013</c:v>
                </c:pt>
                <c:pt idx="19">
                  <c:v>75.93579563139684</c:v>
                </c:pt>
                <c:pt idx="20">
                  <c:v>81.16255741261322</c:v>
                </c:pt>
                <c:pt idx="21">
                  <c:v>91.63069235243108</c:v>
                </c:pt>
                <c:pt idx="22">
                  <c:v>108.63543036702103</c:v>
                </c:pt>
                <c:pt idx="23">
                  <c:v>133.1799550253329</c:v>
                </c:pt>
                <c:pt idx="24">
                  <c:v>166.20152486859433</c:v>
                </c:pt>
                <c:pt idx="25">
                  <c:v>208.838214207656</c:v>
                </c:pt>
                <c:pt idx="26">
                  <c:v>262.6016931555066</c:v>
                </c:pt>
                <c:pt idx="27">
                  <c:v>329.47775719424266</c:v>
                </c:pt>
              </c:numCache>
            </c:numRef>
          </c:val>
          <c:smooth val="0"/>
        </c:ser>
        <c:marker val="1"/>
        <c:axId val="28950532"/>
        <c:axId val="59228197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'Spec''s'!$AG$164:$AG$191</c:f>
              <c:numCache>
                <c:ptCount val="28"/>
                <c:pt idx="0">
                  <c:v>15.247347994488875</c:v>
                </c:pt>
                <c:pt idx="1">
                  <c:v>15.179420133402212</c:v>
                </c:pt>
                <c:pt idx="2">
                  <c:v>15.096673435128443</c:v>
                </c:pt>
                <c:pt idx="3">
                  <c:v>14.995891847908782</c:v>
                </c:pt>
                <c:pt idx="4">
                  <c:v>14.87317023082698</c:v>
                </c:pt>
                <c:pt idx="5">
                  <c:v>14.72377163810275</c:v>
                </c:pt>
                <c:pt idx="6">
                  <c:v>14.54195798612374</c:v>
                </c:pt>
                <c:pt idx="7">
                  <c:v>14.320791072512653</c:v>
                </c:pt>
                <c:pt idx="8">
                  <c:v>14.051902061697762</c:v>
                </c:pt>
                <c:pt idx="9">
                  <c:v>13.72523017759324</c:v>
                </c:pt>
                <c:pt idx="10">
                  <c:v>13.328736597182827</c:v>
                </c:pt>
                <c:pt idx="11">
                  <c:v>12.848109229245749</c:v>
                </c:pt>
                <c:pt idx="12">
                  <c:v>12.266490628058222</c:v>
                </c:pt>
                <c:pt idx="13">
                  <c:v>11.564286545660774</c:v>
                </c:pt>
                <c:pt idx="14">
                  <c:v>10.719142323935476</c:v>
                </c:pt>
                <c:pt idx="15">
                  <c:v>9.706182902494241</c:v>
                </c:pt>
                <c:pt idx="16">
                  <c:v>8.498539796527087</c:v>
                </c:pt>
                <c:pt idx="17">
                  <c:v>7.0681732485359765</c:v>
                </c:pt>
                <c:pt idx="18">
                  <c:v>5.390041009992702</c:v>
                </c:pt>
                <c:pt idx="19">
                  <c:v>3.4908426092076366</c:v>
                </c:pt>
                <c:pt idx="20">
                  <c:v>2.070493842447485</c:v>
                </c:pt>
                <c:pt idx="21">
                  <c:v>3.8795522577999075</c:v>
                </c:pt>
                <c:pt idx="22">
                  <c:v>7.864777625517827</c:v>
                </c:pt>
                <c:pt idx="23">
                  <c:v>13.104833262516802</c:v>
                </c:pt>
                <c:pt idx="24">
                  <c:v>19.597747399963357</c:v>
                </c:pt>
                <c:pt idx="25">
                  <c:v>27.503302762045323</c:v>
                </c:pt>
                <c:pt idx="26">
                  <c:v>37.06855798297907</c:v>
                </c:pt>
                <c:pt idx="27">
                  <c:v>48.613727306285874</c:v>
                </c:pt>
              </c:numCache>
            </c:numRef>
          </c:val>
          <c:smooth val="0"/>
        </c:ser>
        <c:marker val="1"/>
        <c:axId val="63291726"/>
        <c:axId val="32754623"/>
      </c:lineChart>
      <c:catAx>
        <c:axId val="289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228197"/>
        <c:crosses val="autoZero"/>
        <c:auto val="1"/>
        <c:lblOffset val="100"/>
        <c:noMultiLvlLbl val="0"/>
      </c:catAx>
      <c:valAx>
        <c:axId val="592281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950532"/>
        <c:crossesAt val="1"/>
        <c:crossBetween val="between"/>
        <c:dispUnits/>
      </c:valAx>
      <c:catAx>
        <c:axId val="63291726"/>
        <c:scaling>
          <c:orientation val="minMax"/>
        </c:scaling>
        <c:axPos val="b"/>
        <c:delete val="1"/>
        <c:majorTickMark val="in"/>
        <c:minorTickMark val="none"/>
        <c:tickLblPos val="nextTo"/>
        <c:crossAx val="32754623"/>
        <c:crosses val="autoZero"/>
        <c:auto val="1"/>
        <c:lblOffset val="100"/>
        <c:noMultiLvlLbl val="0"/>
      </c:catAx>
      <c:valAx>
        <c:axId val="3275462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315"/>
          <c:h val="0.835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'Spec''s'!$AI$164:$AI$191</c:f>
              <c:numCache>
                <c:ptCount val="28"/>
                <c:pt idx="0">
                  <c:v>929.9264834601756</c:v>
                </c:pt>
                <c:pt idx="1">
                  <c:v>921.6591823453457</c:v>
                </c:pt>
                <c:pt idx="2">
                  <c:v>911.6381952276513</c:v>
                </c:pt>
                <c:pt idx="3">
                  <c:v>899.5070892567082</c:v>
                </c:pt>
                <c:pt idx="4">
                  <c:v>884.8447708606316</c:v>
                </c:pt>
                <c:pt idx="5">
                  <c:v>867.1578050039958</c:v>
                </c:pt>
                <c:pt idx="6">
                  <c:v>845.874168280752</c:v>
                </c:pt>
                <c:pt idx="7">
                  <c:v>820.3402277702324</c:v>
                </c:pt>
                <c:pt idx="8">
                  <c:v>789.8238062061832</c:v>
                </c:pt>
                <c:pt idx="9">
                  <c:v>753.5277737116646</c:v>
                </c:pt>
                <c:pt idx="10">
                  <c:v>710.6208771083234</c:v>
                </c:pt>
                <c:pt idx="11">
                  <c:v>660.2956430665191</c:v>
                </c:pt>
                <c:pt idx="12">
                  <c:v>601.8671693129608</c:v>
                </c:pt>
                <c:pt idx="13">
                  <c:v>534.9308932406033</c:v>
                </c:pt>
                <c:pt idx="14">
                  <c:v>459.6000486431393</c:v>
                </c:pt>
                <c:pt idx="15">
                  <c:v>376.83994614668615</c:v>
                </c:pt>
                <c:pt idx="16">
                  <c:v>288.90071469261864</c:v>
                </c:pt>
                <c:pt idx="17">
                  <c:v>199.8362922852785</c:v>
                </c:pt>
                <c:pt idx="18">
                  <c:v>116.21016835761259</c:v>
                </c:pt>
                <c:pt idx="19">
                  <c:v>48.74392848903832</c:v>
                </c:pt>
                <c:pt idx="20">
                  <c:v>17.147779006451803</c:v>
                </c:pt>
                <c:pt idx="21">
                  <c:v>60.203702884001444</c:v>
                </c:pt>
                <c:pt idx="22">
                  <c:v>247.4189083953833</c:v>
                </c:pt>
                <c:pt idx="23">
                  <c:v>686.9466193534671</c:v>
                </c:pt>
                <c:pt idx="24">
                  <c:v>1536.286812611082</c:v>
                </c:pt>
                <c:pt idx="25">
                  <c:v>3025.7266512829196</c:v>
                </c:pt>
                <c:pt idx="26">
                  <c:v>5496.311963749926</c:v>
                </c:pt>
                <c:pt idx="27">
                  <c:v>9453.177930439699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'Spec''s'!$AJ$164:$AJ$191</c:f>
              <c:numCache>
                <c:ptCount val="28"/>
                <c:pt idx="0">
                  <c:v>586.0421455408624</c:v>
                </c:pt>
                <c:pt idx="1">
                  <c:v>582.9445115250462</c:v>
                </c:pt>
                <c:pt idx="2">
                  <c:v>579.1956739094551</c:v>
                </c:pt>
                <c:pt idx="3">
                  <c:v>574.6662392436895</c:v>
                </c:pt>
                <c:pt idx="4">
                  <c:v>569.2049043777947</c:v>
                </c:pt>
                <c:pt idx="5">
                  <c:v>562.6367825093456</c:v>
                </c:pt>
                <c:pt idx="6">
                  <c:v>554.762881135376</c:v>
                </c:pt>
                <c:pt idx="7">
                  <c:v>545.3617221857487</c:v>
                </c:pt>
                <c:pt idx="8">
                  <c:v>534.1946701593598</c:v>
                </c:pt>
                <c:pt idx="9">
                  <c:v>521.0174099886397</c:v>
                </c:pt>
                <c:pt idx="10">
                  <c:v>505.60134311609823</c:v>
                </c:pt>
                <c:pt idx="11">
                  <c:v>487.77067250435704</c:v>
                </c:pt>
                <c:pt idx="12">
                  <c:v>467.4639600171645</c:v>
                </c:pt>
                <c:pt idx="13">
                  <c:v>444.8334620816569</c:v>
                </c:pt>
                <c:pt idx="14">
                  <c:v>420.4023254904434</c:v>
                </c:pt>
                <c:pt idx="15">
                  <c:v>395.3098619748813</c:v>
                </c:pt>
                <c:pt idx="16">
                  <c:v>371.6902659583327</c:v>
                </c:pt>
                <c:pt idx="17">
                  <c:v>353.25274711650013</c:v>
                </c:pt>
                <c:pt idx="18">
                  <c:v>346.16476629891923</c:v>
                </c:pt>
                <c:pt idx="19">
                  <c:v>360.39031613582927</c:v>
                </c:pt>
                <c:pt idx="20">
                  <c:v>411.7100453597336</c:v>
                </c:pt>
                <c:pt idx="21">
                  <c:v>524.761486311617</c:v>
                </c:pt>
                <c:pt idx="22">
                  <c:v>737.6035456892422</c:v>
                </c:pt>
                <c:pt idx="23">
                  <c:v>1108.5562762843558</c:v>
                </c:pt>
                <c:pt idx="24">
                  <c:v>1726.4341792903738</c:v>
                </c:pt>
                <c:pt idx="25">
                  <c:v>2725.837482090176</c:v>
                </c:pt>
                <c:pt idx="26">
                  <c:v>4309.978078008678</c:v>
                </c:pt>
                <c:pt idx="27">
                  <c:v>6784.72453035927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'Spec''s'!$AH$164:$AH$191</c:f>
              <c:numCache>
                <c:ptCount val="28"/>
                <c:pt idx="0">
                  <c:v>738.224973542802</c:v>
                </c:pt>
                <c:pt idx="1">
                  <c:v>732.9912426795296</c:v>
                </c:pt>
                <c:pt idx="2">
                  <c:v>726.6477130263872</c:v>
                </c:pt>
                <c:pt idx="3">
                  <c:v>718.9689535412432</c:v>
                </c:pt>
                <c:pt idx="4">
                  <c:v>709.6886522883943</c:v>
                </c:pt>
                <c:pt idx="5">
                  <c:v>698.4947224820777</c:v>
                </c:pt>
                <c:pt idx="6">
                  <c:v>685.0252482014221</c:v>
                </c:pt>
                <c:pt idx="7">
                  <c:v>668.8663240102788</c:v>
                </c:pt>
                <c:pt idx="8">
                  <c:v>649.5534370937638</c:v>
                </c:pt>
                <c:pt idx="9">
                  <c:v>626.5788769291199</c:v>
                </c:pt>
                <c:pt idx="10">
                  <c:v>599.4087669631701</c:v>
                </c:pt>
                <c:pt idx="11">
                  <c:v>567.51462524789</c:v>
                </c:pt>
                <c:pt idx="12">
                  <c:v>530.4254993600495</c:v>
                </c:pt>
                <c:pt idx="13">
                  <c:v>487.8064792667792</c:v>
                </c:pt>
                <c:pt idx="14">
                  <c:v>439.564476777977</c:v>
                </c:pt>
                <c:pt idx="15">
                  <c:v>385.9644376077519</c:v>
                </c:pt>
                <c:pt idx="16">
                  <c:v>327.6912929567275</c:v>
                </c:pt>
                <c:pt idx="17">
                  <c:v>265.6929039762833</c:v>
                </c:pt>
                <c:pt idx="18">
                  <c:v>200.5688554364087</c:v>
                </c:pt>
                <c:pt idx="19">
                  <c:v>132.5399554770816</c:v>
                </c:pt>
                <c:pt idx="20">
                  <c:v>84.02328768005309</c:v>
                </c:pt>
                <c:pt idx="21">
                  <c:v>177.74302969982136</c:v>
                </c:pt>
                <c:pt idx="22">
                  <c:v>427.19675104452347</c:v>
                </c:pt>
                <c:pt idx="23">
                  <c:v>872.6505522582372</c:v>
                </c:pt>
                <c:pt idx="24">
                  <c:v>1628.58775093172</c:v>
                </c:pt>
                <c:pt idx="25">
                  <c:v>2871.870316819019</c:v>
                </c:pt>
                <c:pt idx="26">
                  <c:v>4867.1330445816875</c:v>
                </c:pt>
                <c:pt idx="27">
                  <c:v>8008.570920863791</c:v>
                </c:pt>
              </c:numCache>
            </c:numRef>
          </c:val>
          <c:smooth val="0"/>
        </c:ser>
        <c:marker val="1"/>
        <c:axId val="26356152"/>
        <c:axId val="35878777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marker val="1"/>
        <c:axId val="54473538"/>
        <c:axId val="20499795"/>
      </c:lineChart>
      <c:catAx>
        <c:axId val="2635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auto val="1"/>
        <c:lblOffset val="100"/>
        <c:noMultiLvlLbl val="0"/>
      </c:catAx>
      <c:valAx>
        <c:axId val="3587877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56152"/>
        <c:crossesAt val="1"/>
        <c:crossBetween val="between"/>
        <c:dispUnits/>
      </c:valAx>
      <c:catAx>
        <c:axId val="54473538"/>
        <c:scaling>
          <c:orientation val="minMax"/>
        </c:scaling>
        <c:axPos val="b"/>
        <c:delete val="1"/>
        <c:majorTickMark val="in"/>
        <c:minorTickMark val="none"/>
        <c:tickLblPos val="nextTo"/>
        <c:crossAx val="20499795"/>
        <c:crosses val="autoZero"/>
        <c:auto val="1"/>
        <c:lblOffset val="100"/>
        <c:noMultiLvlLbl val="0"/>
      </c:catAx>
      <c:valAx>
        <c:axId val="20499795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735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17425"/>
          <c:w val="0.24925"/>
          <c:h val="0.12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5"/>
          <c:w val="0.87825"/>
          <c:h val="0.830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marker val="1"/>
        <c:axId val="50280428"/>
        <c:axId val="49870669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46182838"/>
        <c:axId val="12992359"/>
      </c:lineChart>
      <c:catAx>
        <c:axId val="502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870669"/>
        <c:crosses val="autoZero"/>
        <c:auto val="1"/>
        <c:lblOffset val="100"/>
        <c:noMultiLvlLbl val="0"/>
      </c:catAx>
      <c:valAx>
        <c:axId val="49870669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80428"/>
        <c:crossesAt val="1"/>
        <c:crossBetween val="between"/>
        <c:dispUnits/>
        <c:majorUnit val="3"/>
      </c:valAx>
      <c:catAx>
        <c:axId val="46182838"/>
        <c:scaling>
          <c:orientation val="minMax"/>
        </c:scaling>
        <c:axPos val="b"/>
        <c:delete val="1"/>
        <c:majorTickMark val="in"/>
        <c:minorTickMark val="none"/>
        <c:tickLblPos val="nextTo"/>
        <c:crossAx val="12992359"/>
        <c:crosses val="autoZero"/>
        <c:auto val="1"/>
        <c:lblOffset val="100"/>
        <c:noMultiLvlLbl val="0"/>
      </c:catAx>
      <c:valAx>
        <c:axId val="12992359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82838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6675"/>
          <c:w val="0.1262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805"/>
          <c:h val="0.838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'Spec''s'!$AQ$164:$AQ$191</c:f>
              <c:numCache>
                <c:ptCount val="28"/>
                <c:pt idx="0">
                  <c:v>55.94246215149689</c:v>
                </c:pt>
                <c:pt idx="1">
                  <c:v>57.68564987460708</c:v>
                </c:pt>
                <c:pt idx="2">
                  <c:v>59.43384036177311</c:v>
                </c:pt>
                <c:pt idx="3">
                  <c:v>61.18810802202596</c:v>
                </c:pt>
                <c:pt idx="4">
                  <c:v>62.94974992941054</c:v>
                </c:pt>
                <c:pt idx="5">
                  <c:v>64.72032645853601</c:v>
                </c:pt>
                <c:pt idx="6">
                  <c:v>66.50170512112294</c:v>
                </c:pt>
                <c:pt idx="7">
                  <c:v>68.29610395030063</c:v>
                </c:pt>
                <c:pt idx="8">
                  <c:v>70.1061263724676</c:v>
                </c:pt>
                <c:pt idx="9">
                  <c:v>71.93477092578372</c:v>
                </c:pt>
                <c:pt idx="10">
                  <c:v>73.78538249642604</c:v>
                </c:pt>
                <c:pt idx="11">
                  <c:v>75.66147924435127</c:v>
                </c:pt>
                <c:pt idx="12">
                  <c:v>77.56632615591194</c:v>
                </c:pt>
                <c:pt idx="13">
                  <c:v>79.50200440646192</c:v>
                </c:pt>
                <c:pt idx="14">
                  <c:v>81.46749920428603</c:v>
                </c:pt>
                <c:pt idx="15">
                  <c:v>83.4549452148689</c:v>
                </c:pt>
                <c:pt idx="16">
                  <c:v>85.44268123199119</c:v>
                </c:pt>
                <c:pt idx="17">
                  <c:v>87.38380903383818</c:v>
                </c:pt>
                <c:pt idx="18">
                  <c:v>89.19200729667514</c:v>
                </c:pt>
                <c:pt idx="19">
                  <c:v>90.73727619266067</c:v>
                </c:pt>
                <c:pt idx="20">
                  <c:v>91.87926408877316</c:v>
                </c:pt>
                <c:pt idx="21">
                  <c:v>92.54573059312406</c:v>
                </c:pt>
                <c:pt idx="22">
                  <c:v>92.78729157441616</c:v>
                </c:pt>
                <c:pt idx="23">
                  <c:v>92.73811548406262</c:v>
                </c:pt>
                <c:pt idx="24">
                  <c:v>92.53436408499985</c:v>
                </c:pt>
                <c:pt idx="25">
                  <c:v>92.27103615221918</c:v>
                </c:pt>
                <c:pt idx="26">
                  <c:v>92.00145653481296</c:v>
                </c:pt>
                <c:pt idx="27">
                  <c:v>91.75105635691092</c:v>
                </c:pt>
              </c:numCache>
            </c:numRef>
          </c:val>
          <c:smooth val="0"/>
        </c:ser>
        <c:marker val="1"/>
        <c:axId val="49822368"/>
        <c:axId val="45748129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'Spec''s'!$AR$164:$AR$191</c:f>
              <c:numCache>
                <c:ptCount val="28"/>
                <c:pt idx="0">
                  <c:v>1.5745987280093332</c:v>
                </c:pt>
                <c:pt idx="1">
                  <c:v>1.571743168063168</c:v>
                </c:pt>
                <c:pt idx="2">
                  <c:v>1.5682258728765623</c:v>
                </c:pt>
                <c:pt idx="3">
                  <c:v>1.5638837477373573</c:v>
                </c:pt>
                <c:pt idx="4">
                  <c:v>1.5585087347942044</c:v>
                </c:pt>
                <c:pt idx="5">
                  <c:v>1.5518331368392082</c:v>
                </c:pt>
                <c:pt idx="6">
                  <c:v>1.5435091087913348</c:v>
                </c:pt>
                <c:pt idx="7">
                  <c:v>1.5330795525251055</c:v>
                </c:pt>
                <c:pt idx="8">
                  <c:v>1.5199361613341968</c:v>
                </c:pt>
                <c:pt idx="9">
                  <c:v>1.5032580123924795</c:v>
                </c:pt>
                <c:pt idx="10">
                  <c:v>1.481920427833821</c:v>
                </c:pt>
                <c:pt idx="11">
                  <c:v>1.45435820878207</c:v>
                </c:pt>
                <c:pt idx="12">
                  <c:v>1.41835934084783</c:v>
                </c:pt>
                <c:pt idx="13">
                  <c:v>1.3707559144270096</c:v>
                </c:pt>
                <c:pt idx="14">
                  <c:v>1.306975634189163</c:v>
                </c:pt>
                <c:pt idx="15">
                  <c:v>1.220449053811731</c:v>
                </c:pt>
                <c:pt idx="16">
                  <c:v>1.1020307866814785</c:v>
                </c:pt>
                <c:pt idx="17">
                  <c:v>0.9401657387842611</c:v>
                </c:pt>
                <c:pt idx="18">
                  <c:v>0.7242535743196279</c:v>
                </c:pt>
                <c:pt idx="19">
                  <c:v>0.4597097561409224</c:v>
                </c:pt>
                <c:pt idx="20">
                  <c:v>0.25510455910371743</c:v>
                </c:pt>
                <c:pt idx="21">
                  <c:v>0.4233900408477027</c:v>
                </c:pt>
                <c:pt idx="22">
                  <c:v>0.7239606451548035</c:v>
                </c:pt>
                <c:pt idx="23">
                  <c:v>0.9839944201831319</c:v>
                </c:pt>
                <c:pt idx="24">
                  <c:v>1.17915569158936</c:v>
                </c:pt>
                <c:pt idx="25">
                  <c:v>1.3169669577186538</c:v>
                </c:pt>
                <c:pt idx="26">
                  <c:v>1.4115886892255465</c:v>
                </c:pt>
                <c:pt idx="27">
                  <c:v>1.4754782756890563</c:v>
                </c:pt>
              </c:numCache>
            </c:numRef>
          </c:val>
          <c:smooth val="0"/>
        </c:ser>
        <c:marker val="1"/>
        <c:axId val="9079978"/>
        <c:axId val="14610939"/>
      </c:lineChart>
      <c:catAx>
        <c:axId val="4982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22368"/>
        <c:crossesAt val="1"/>
        <c:crossBetween val="between"/>
        <c:dispUnits/>
      </c:valAx>
      <c:catAx>
        <c:axId val="9079978"/>
        <c:scaling>
          <c:orientation val="minMax"/>
        </c:scaling>
        <c:axPos val="b"/>
        <c:delete val="1"/>
        <c:majorTickMark val="in"/>
        <c:minorTickMark val="none"/>
        <c:tickLblPos val="nextTo"/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799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6"/>
          <c:w val="0.893"/>
          <c:h val="0.83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'Spec''s'!$AY$164:$AY$191</c:f>
              <c:numCache>
                <c:ptCount val="28"/>
                <c:pt idx="0">
                  <c:v>44.25639740346213</c:v>
                </c:pt>
                <c:pt idx="1">
                  <c:v>46.8596708284694</c:v>
                </c:pt>
                <c:pt idx="2">
                  <c:v>49.467947017532516</c:v>
                </c:pt>
                <c:pt idx="3">
                  <c:v>52.08230037968245</c:v>
                </c:pt>
                <c:pt idx="4">
                  <c:v>54.704027988964114</c:v>
                </c:pt>
                <c:pt idx="5">
                  <c:v>57.3346902199867</c:v>
                </c:pt>
                <c:pt idx="6">
                  <c:v>59.9761545844707</c:v>
                </c:pt>
                <c:pt idx="7">
                  <c:v>62.63063911554548</c:v>
                </c:pt>
                <c:pt idx="8">
                  <c:v>65.30074723960954</c:v>
                </c:pt>
                <c:pt idx="9">
                  <c:v>67.98947749482276</c:v>
                </c:pt>
                <c:pt idx="10">
                  <c:v>70.70017476736217</c:v>
                </c:pt>
                <c:pt idx="11">
                  <c:v>73.43635721718447</c:v>
                </c:pt>
                <c:pt idx="12">
                  <c:v>76.20128983064221</c:v>
                </c:pt>
                <c:pt idx="13">
                  <c:v>78.9970537830893</c:v>
                </c:pt>
                <c:pt idx="14">
                  <c:v>81.8226342828105</c:v>
                </c:pt>
                <c:pt idx="15">
                  <c:v>84.67016599529047</c:v>
                </c:pt>
                <c:pt idx="16">
                  <c:v>87.51798771430983</c:v>
                </c:pt>
                <c:pt idx="17">
                  <c:v>90.31920121805389</c:v>
                </c:pt>
                <c:pt idx="18">
                  <c:v>92.98748518278796</c:v>
                </c:pt>
                <c:pt idx="19">
                  <c:v>95.3928397806706</c:v>
                </c:pt>
                <c:pt idx="20">
                  <c:v>97.39491337868017</c:v>
                </c:pt>
                <c:pt idx="21">
                  <c:v>98.92146558492816</c:v>
                </c:pt>
                <c:pt idx="22">
                  <c:v>100.02311226811733</c:v>
                </c:pt>
                <c:pt idx="23">
                  <c:v>100.83402187966088</c:v>
                </c:pt>
                <c:pt idx="24">
                  <c:v>101.49035618249522</c:v>
                </c:pt>
                <c:pt idx="25">
                  <c:v>102.08711395161164</c:v>
                </c:pt>
                <c:pt idx="26">
                  <c:v>102.6776200361025</c:v>
                </c:pt>
                <c:pt idx="27">
                  <c:v>103.28730556009754</c:v>
                </c:pt>
              </c:numCache>
            </c:numRef>
          </c:val>
          <c:smooth val="0"/>
        </c:ser>
        <c:marker val="1"/>
        <c:axId val="64389588"/>
        <c:axId val="42635381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'Spec''s'!$AU$164:$AU$191</c:f>
              <c:numCache>
                <c:ptCount val="28"/>
                <c:pt idx="0">
                  <c:v>5.957379369948161</c:v>
                </c:pt>
                <c:pt idx="1">
                  <c:v>5.946575567296523</c:v>
                </c:pt>
                <c:pt idx="2">
                  <c:v>5.933268137657485</c:v>
                </c:pt>
                <c:pt idx="3">
                  <c:v>5.916840024090585</c:v>
                </c:pt>
                <c:pt idx="4">
                  <c:v>5.896504054899739</c:v>
                </c:pt>
                <c:pt idx="5">
                  <c:v>5.8712474172359705</c:v>
                </c:pt>
                <c:pt idx="6">
                  <c:v>5.839754064621642</c:v>
                </c:pt>
                <c:pt idx="7">
                  <c:v>5.800294599658973</c:v>
                </c:pt>
                <c:pt idx="8">
                  <c:v>5.7505675383200705</c:v>
                </c:pt>
                <c:pt idx="9">
                  <c:v>5.687466979004922</c:v>
                </c:pt>
                <c:pt idx="10">
                  <c:v>5.6067377850883355</c:v>
                </c:pt>
                <c:pt idx="11">
                  <c:v>5.502458140853846</c:v>
                </c:pt>
                <c:pt idx="12">
                  <c:v>5.366259051296561</c:v>
                </c:pt>
                <c:pt idx="13">
                  <c:v>5.1861549616300024</c:v>
                </c:pt>
                <c:pt idx="14">
                  <c:v>4.94484692616701</c:v>
                </c:pt>
                <c:pt idx="15">
                  <c:v>4.617479924197973</c:v>
                </c:pt>
                <c:pt idx="16">
                  <c:v>4.169453052920966</c:v>
                </c:pt>
                <c:pt idx="17">
                  <c:v>3.5570484574481576</c:v>
                </c:pt>
                <c:pt idx="18">
                  <c:v>2.740160540912995</c:v>
                </c:pt>
                <c:pt idx="19">
                  <c:v>1.739278311789414</c:v>
                </c:pt>
                <c:pt idx="20">
                  <c:v>0.9651694813100342</c:v>
                </c:pt>
                <c:pt idx="21">
                  <c:v>1.601865319665534</c:v>
                </c:pt>
                <c:pt idx="22">
                  <c:v>2.739052264796459</c:v>
                </c:pt>
                <c:pt idx="23">
                  <c:v>3.7228710748128755</c:v>
                </c:pt>
                <c:pt idx="24">
                  <c:v>4.461249501904699</c:v>
                </c:pt>
                <c:pt idx="25">
                  <c:v>4.982648369553361</c:v>
                </c:pt>
                <c:pt idx="26">
                  <c:v>5.340642785019824</c:v>
                </c:pt>
                <c:pt idx="27">
                  <c:v>5.582364372610219</c:v>
                </c:pt>
              </c:numCache>
            </c:numRef>
          </c:val>
          <c:smooth val="0"/>
        </c:ser>
        <c:marker val="1"/>
        <c:axId val="48174110"/>
        <c:axId val="30913807"/>
      </c:lineChart>
      <c:catAx>
        <c:axId val="643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89588"/>
        <c:crossesAt val="1"/>
        <c:crossBetween val="between"/>
        <c:dispUnits/>
      </c:valAx>
      <c:catAx>
        <c:axId val="48174110"/>
        <c:scaling>
          <c:orientation val="minMax"/>
        </c:scaling>
        <c:axPos val="b"/>
        <c:delete val="1"/>
        <c:majorTickMark val="in"/>
        <c:minorTickMark val="none"/>
        <c:tickLblPos val="nextTo"/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741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81"/>
          <c:h val="0.839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'Spec''s'!$W$164:$W$191</c:f>
              <c:numCache>
                <c:ptCount val="28"/>
                <c:pt idx="0">
                  <c:v>13.521940638731323</c:v>
                </c:pt>
                <c:pt idx="1">
                  <c:v>15.356988238198209</c:v>
                </c:pt>
                <c:pt idx="2">
                  <c:v>17.793790283490267</c:v>
                </c:pt>
                <c:pt idx="3">
                  <c:v>21.10093657497359</c:v>
                </c:pt>
                <c:pt idx="4">
                  <c:v>25.64930079667496</c:v>
                </c:pt>
                <c:pt idx="5">
                  <c:v>31.732333870240904</c:v>
                </c:pt>
                <c:pt idx="6">
                  <c:v>38.52351015418071</c:v>
                </c:pt>
                <c:pt idx="7">
                  <c:v>41.96705139603657</c:v>
                </c:pt>
                <c:pt idx="8">
                  <c:v>38.399819611410656</c:v>
                </c:pt>
                <c:pt idx="9">
                  <c:v>31.52756381757535</c:v>
                </c:pt>
                <c:pt idx="10">
                  <c:v>25.398872181935623</c:v>
                </c:pt>
                <c:pt idx="11">
                  <c:v>20.823041969213136</c:v>
                </c:pt>
                <c:pt idx="12">
                  <c:v>17.496887234217784</c:v>
                </c:pt>
                <c:pt idx="13">
                  <c:v>15.045103333589713</c:v>
                </c:pt>
                <c:pt idx="14">
                  <c:v>13.197170856983087</c:v>
                </c:pt>
                <c:pt idx="15">
                  <c:v>11.774606142113607</c:v>
                </c:pt>
                <c:pt idx="16">
                  <c:v>10.660062562842867</c:v>
                </c:pt>
                <c:pt idx="17">
                  <c:v>9.774778462141741</c:v>
                </c:pt>
                <c:pt idx="18">
                  <c:v>9.064407270304557</c:v>
                </c:pt>
                <c:pt idx="19">
                  <c:v>8.490356454907888</c:v>
                </c:pt>
                <c:pt idx="20">
                  <c:v>8.024462159711275</c:v>
                </c:pt>
                <c:pt idx="21">
                  <c:v>7.645661136226556</c:v>
                </c:pt>
                <c:pt idx="22">
                  <c:v>7.337870915309093</c:v>
                </c:pt>
                <c:pt idx="23">
                  <c:v>7.088612952051794</c:v>
                </c:pt>
                <c:pt idx="24">
                  <c:v>6.888100476176402</c:v>
                </c:pt>
                <c:pt idx="25">
                  <c:v>6.728621806887428</c:v>
                </c:pt>
                <c:pt idx="26">
                  <c:v>6.6041147234394195</c:v>
                </c:pt>
                <c:pt idx="27">
                  <c:v>6.509866822015758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9788808"/>
        <c:axId val="20990409"/>
      </c:lineChart>
      <c:cat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175"/>
          <c:w val="0.158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8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17</xdr:col>
      <xdr:colOff>104775</xdr:colOff>
      <xdr:row>60</xdr:row>
      <xdr:rowOff>0</xdr:rowOff>
    </xdr:to>
    <xdr:graphicFrame>
      <xdr:nvGraphicFramePr>
        <xdr:cNvPr id="1" name="Chart 13"/>
        <xdr:cNvGraphicFramePr/>
      </xdr:nvGraphicFramePr>
      <xdr:xfrm>
        <a:off x="85725" y="57150"/>
        <a:ext cx="10382250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R2:AY191"/>
  <sheetViews>
    <sheetView showGridLines="0" tabSelected="1" zoomScale="70" zoomScaleNormal="70" workbookViewId="0" topLeftCell="A1">
      <selection activeCell="U23" sqref="U23"/>
    </sheetView>
  </sheetViews>
  <sheetFormatPr defaultColWidth="9.140625" defaultRowHeight="12.75"/>
  <cols>
    <col min="19" max="19" width="2.421875" style="0" customWidth="1"/>
    <col min="21" max="21" width="20.00390625" style="0" customWidth="1"/>
    <col min="23" max="23" width="10.57421875" style="0" customWidth="1"/>
    <col min="25" max="25" width="2.421875" style="0" customWidth="1"/>
    <col min="27" max="27" width="10.7109375" style="0" customWidth="1"/>
    <col min="29" max="29" width="2.421875" style="0" customWidth="1"/>
    <col min="31" max="31" width="2.421875" style="0" customWidth="1"/>
    <col min="33" max="33" width="3.00390625" style="0" customWidth="1"/>
    <col min="37" max="37" width="10.421875" style="0" customWidth="1"/>
    <col min="39" max="39" width="9.28125" style="0" customWidth="1"/>
    <col min="45" max="45" width="4.140625" style="0" customWidth="1"/>
    <col min="50" max="50" width="4.7109375" style="0" customWidth="1"/>
  </cols>
  <sheetData>
    <row r="2" spans="20:34" ht="12.75">
      <c r="T2" s="36" t="s">
        <v>135</v>
      </c>
      <c r="AB2" s="51" t="s">
        <v>167</v>
      </c>
      <c r="AD2" s="37" t="s">
        <v>160</v>
      </c>
      <c r="AF2" s="37" t="s">
        <v>162</v>
      </c>
      <c r="AH2" t="s">
        <v>199</v>
      </c>
    </row>
    <row r="3" spans="20:32" ht="12.75">
      <c r="T3" s="2" t="s">
        <v>123</v>
      </c>
      <c r="Y3" s="36" t="s">
        <v>77</v>
      </c>
      <c r="AD3" s="37" t="s">
        <v>161</v>
      </c>
      <c r="AE3" s="37"/>
      <c r="AF3" s="37" t="s">
        <v>166</v>
      </c>
    </row>
    <row r="5" spans="18:26" ht="15.75">
      <c r="R5" s="94" t="s">
        <v>209</v>
      </c>
      <c r="T5" s="2" t="s">
        <v>32</v>
      </c>
      <c r="Z5" t="s">
        <v>40</v>
      </c>
    </row>
    <row r="6" spans="18:29" ht="24" customHeight="1">
      <c r="R6" s="94">
        <f>INDEX(Price,MATCH(ChosenDriver,Model,0))</f>
        <v>50</v>
      </c>
      <c r="T6" s="4" t="s">
        <v>35</v>
      </c>
      <c r="U6" s="88" t="s">
        <v>192</v>
      </c>
      <c r="V6" s="18"/>
      <c r="W6" s="18"/>
      <c r="X6" s="6"/>
      <c r="Z6" s="4" t="s">
        <v>37</v>
      </c>
      <c r="AA6" s="34" t="e">
        <f>(W9/(2*W13))*(1-SQRT(1-(2*W13)^2))</f>
        <v>#NUM!</v>
      </c>
      <c r="AB6" s="6" t="s">
        <v>14</v>
      </c>
      <c r="AC6" s="19"/>
    </row>
    <row r="7" spans="20:29" ht="12.75">
      <c r="T7" s="7" t="s">
        <v>0</v>
      </c>
      <c r="U7">
        <f>INDEX(Re,MATCH(ChosenDriver,Model,0))</f>
        <v>5.6</v>
      </c>
      <c r="V7" s="19" t="s">
        <v>69</v>
      </c>
      <c r="W7" s="19" t="s">
        <v>78</v>
      </c>
      <c r="X7" s="9"/>
      <c r="Z7" s="12" t="s">
        <v>38</v>
      </c>
      <c r="AA7" s="13" t="e">
        <f>(W9/(2*W13))*(1+SQRT(1-(2*W13)^2))</f>
        <v>#NUM!</v>
      </c>
      <c r="AB7" s="14" t="s">
        <v>14</v>
      </c>
      <c r="AC7" s="19"/>
    </row>
    <row r="8" spans="20:29" ht="12.75">
      <c r="T8" s="7" t="s">
        <v>1</v>
      </c>
      <c r="U8">
        <f>INDEX(Le,MATCH(ChosenDriver,Model,0))</f>
        <v>3.3</v>
      </c>
      <c r="V8" s="19" t="s">
        <v>76</v>
      </c>
      <c r="W8" s="19"/>
      <c r="X8" s="9"/>
      <c r="AA8" s="35"/>
      <c r="AC8" s="19"/>
    </row>
    <row r="9" spans="20:29" ht="12.75">
      <c r="T9" s="7" t="s">
        <v>2</v>
      </c>
      <c r="U9">
        <f>INDEX(Fs,MATCH(ChosenDriver,Model,0))</f>
        <v>33.3</v>
      </c>
      <c r="V9" s="19" t="s">
        <v>14</v>
      </c>
      <c r="W9" s="30">
        <f>1/(2*PI()*SQRT(W15*W16*0.000000001))</f>
        <v>33.18970747607848</v>
      </c>
      <c r="X9" s="9" t="s">
        <v>14</v>
      </c>
      <c r="Z9" t="s">
        <v>41</v>
      </c>
      <c r="AA9" s="35"/>
      <c r="AC9" s="19"/>
    </row>
    <row r="10" spans="20:29" ht="12.75">
      <c r="T10" s="7" t="s">
        <v>11</v>
      </c>
      <c r="U10">
        <f>INDEX(Bl,MATCH(ChosenDriver,Model,0))</f>
        <v>10.2</v>
      </c>
      <c r="V10" s="19" t="s">
        <v>70</v>
      </c>
      <c r="W10" s="31"/>
      <c r="X10" s="9"/>
      <c r="Z10" s="4" t="s">
        <v>39</v>
      </c>
      <c r="AA10" s="34">
        <f>W9/(2*W13)</f>
        <v>32.35824220396446</v>
      </c>
      <c r="AB10" s="6" t="s">
        <v>14</v>
      </c>
      <c r="AC10" s="19"/>
    </row>
    <row r="11" spans="20:28" ht="12.75">
      <c r="T11" s="7" t="s">
        <v>3</v>
      </c>
      <c r="U11">
        <f>INDEX(Qms,MATCH(ChosenDriver,Model,0))</f>
        <v>4.85</v>
      </c>
      <c r="V11" s="19"/>
      <c r="W11" s="32">
        <f>W14/(2*PI()*W9*W16/1000)</f>
        <v>4.843747685801752</v>
      </c>
      <c r="X11" s="9"/>
      <c r="Z11" s="26" t="s">
        <v>44</v>
      </c>
      <c r="AA11" s="13">
        <f>AA10*SQRT(-1+(2*W13)^2)</f>
        <v>7.382468680409925</v>
      </c>
      <c r="AB11" s="14" t="s">
        <v>14</v>
      </c>
    </row>
    <row r="12" spans="20:24" ht="12.75">
      <c r="T12" s="7" t="s">
        <v>4</v>
      </c>
      <c r="U12">
        <f>INDEX(Qes,MATCH(ChosenDriver,Model,0))</f>
        <v>0.57</v>
      </c>
      <c r="V12" s="19"/>
      <c r="W12" s="32">
        <f>U7/(2*PI()*W9*W16/1000)</f>
        <v>0.5735771961656824</v>
      </c>
      <c r="X12" s="9"/>
    </row>
    <row r="13" spans="20:29" ht="12.75">
      <c r="T13" s="7" t="s">
        <v>5</v>
      </c>
      <c r="U13">
        <f>INDEX(Qts,MATCH(ChosenDriver,Model,0))</f>
        <v>0.51</v>
      </c>
      <c r="V13" s="19"/>
      <c r="W13" s="32">
        <f>W11*W12/(W11+W12)</f>
        <v>0.5128478127284083</v>
      </c>
      <c r="X13" s="9"/>
      <c r="AC13" s="19"/>
    </row>
    <row r="14" spans="20:29" ht="12.75">
      <c r="T14" s="7" t="s">
        <v>6</v>
      </c>
      <c r="U14">
        <f>INDEX(Rms,MATCH(ChosenDriver,Model,0))</f>
        <v>2.2</v>
      </c>
      <c r="V14" s="19" t="s">
        <v>71</v>
      </c>
      <c r="W14" s="31">
        <f>(U10^2)/U14</f>
        <v>47.29090909090908</v>
      </c>
      <c r="X14" s="9" t="s">
        <v>12</v>
      </c>
      <c r="Z14" s="23" t="s">
        <v>34</v>
      </c>
      <c r="AC14" s="19"/>
    </row>
    <row r="15" spans="20:29" ht="12.75">
      <c r="T15" s="7" t="s">
        <v>7</v>
      </c>
      <c r="U15">
        <f>INDEX(Mms,MATCH(ChosenDriver,Model,0))</f>
        <v>51.1</v>
      </c>
      <c r="V15" s="19" t="s">
        <v>72</v>
      </c>
      <c r="W15" s="30">
        <f>1000*U15/(U10^2)</f>
        <v>491.15724721261057</v>
      </c>
      <c r="X15" s="9" t="s">
        <v>24</v>
      </c>
      <c r="Z15" s="4" t="s">
        <v>22</v>
      </c>
      <c r="AA15" s="15">
        <f>U16*U25/(U16+U25)</f>
        <v>0.07385952216210376</v>
      </c>
      <c r="AB15" s="6" t="s">
        <v>16</v>
      </c>
      <c r="AC15" s="19"/>
    </row>
    <row r="16" spans="20:34" ht="12.75">
      <c r="T16" s="7" t="s">
        <v>9</v>
      </c>
      <c r="U16">
        <f>INDEX(Cms,MATCH(ChosenDriver,Model,0))</f>
        <v>0.45</v>
      </c>
      <c r="V16" s="19" t="s">
        <v>73</v>
      </c>
      <c r="W16" s="30">
        <f>U16*U10^2</f>
        <v>46.818</v>
      </c>
      <c r="X16" s="9" t="s">
        <v>13</v>
      </c>
      <c r="Z16" s="7" t="s">
        <v>23</v>
      </c>
      <c r="AA16" s="16">
        <f>AA15*U22/U25</f>
        <v>11.702148199401215</v>
      </c>
      <c r="AB16" s="9" t="s">
        <v>17</v>
      </c>
      <c r="AC16" s="19"/>
      <c r="AH16" t="s">
        <v>57</v>
      </c>
    </row>
    <row r="17" spans="20:29" ht="12.75">
      <c r="T17" s="7" t="s">
        <v>8</v>
      </c>
      <c r="U17">
        <f>INDEX(VAS,MATCH(ChosenDriver,Model,0))</f>
        <v>69.3</v>
      </c>
      <c r="V17" s="19" t="s">
        <v>17</v>
      </c>
      <c r="W17" s="33">
        <f>U17/(1.2*(343*U18*0.0001)^2)</f>
        <v>0.4373953225182788</v>
      </c>
      <c r="X17" s="9" t="s">
        <v>16</v>
      </c>
      <c r="Z17" s="7" t="s">
        <v>18</v>
      </c>
      <c r="AA17" s="16">
        <f>W9*SQRT(U16/AA15)</f>
        <v>81.92311074334978</v>
      </c>
      <c r="AB17" s="9" t="s">
        <v>14</v>
      </c>
      <c r="AC17" s="19"/>
    </row>
    <row r="18" spans="20:29" ht="12.75">
      <c r="T18" s="7" t="s">
        <v>10</v>
      </c>
      <c r="U18">
        <f>INDEX(Sd,MATCH(ChosenDriver,Model,0))</f>
        <v>335</v>
      </c>
      <c r="V18" s="19" t="s">
        <v>74</v>
      </c>
      <c r="W18" s="19"/>
      <c r="X18" s="9"/>
      <c r="Z18" s="7" t="s">
        <v>26</v>
      </c>
      <c r="AA18" s="11">
        <f>AB35/(2*PI()*AA17*AB34/1000)</f>
        <v>10.86968842312119</v>
      </c>
      <c r="AB18" s="9"/>
      <c r="AC18" s="19"/>
    </row>
    <row r="19" spans="20:28" ht="12.75">
      <c r="T19" s="12" t="s">
        <v>45</v>
      </c>
      <c r="U19" s="22">
        <f>INDEX(Xmax,MATCH(ChosenDriver,Model,0))</f>
        <v>8</v>
      </c>
      <c r="V19" s="22" t="s">
        <v>75</v>
      </c>
      <c r="W19" s="22"/>
      <c r="X19" s="14"/>
      <c r="Z19" s="7" t="s">
        <v>27</v>
      </c>
      <c r="AA19" s="11">
        <f>AB31/(2*PI()*AA17*AB34/1000)</f>
        <v>1.4157771108771833</v>
      </c>
      <c r="AB19" s="9"/>
    </row>
    <row r="20" spans="26:28" ht="12.75">
      <c r="Z20" s="12" t="s">
        <v>28</v>
      </c>
      <c r="AA20" s="17">
        <f>AA18*AA19/(AA18+AA19)</f>
        <v>1.2526229493896297</v>
      </c>
      <c r="AB20" s="14"/>
    </row>
    <row r="21" ht="12.75">
      <c r="T21" t="s">
        <v>33</v>
      </c>
    </row>
    <row r="22" spans="20:26" ht="12.75">
      <c r="T22" s="4" t="s">
        <v>36</v>
      </c>
      <c r="U22" s="5">
        <v>14</v>
      </c>
      <c r="V22" s="6" t="s">
        <v>17</v>
      </c>
      <c r="Z22" t="s">
        <v>42</v>
      </c>
    </row>
    <row r="23" spans="20:28" ht="12.75">
      <c r="T23" s="7" t="s">
        <v>25</v>
      </c>
      <c r="U23" s="10">
        <v>100</v>
      </c>
      <c r="V23" s="9"/>
      <c r="Z23" s="4" t="s">
        <v>37</v>
      </c>
      <c r="AA23" s="34" t="e">
        <f>(AA17/(2*AA20))*(1-SQRT(1-(2*AA20)^2))</f>
        <v>#NUM!</v>
      </c>
      <c r="AB23" s="6" t="s">
        <v>14</v>
      </c>
    </row>
    <row r="24" spans="20:28" ht="12.75">
      <c r="T24" s="68"/>
      <c r="U24" s="19"/>
      <c r="V24" s="9"/>
      <c r="Z24" s="12" t="s">
        <v>38</v>
      </c>
      <c r="AA24" s="13" t="e">
        <f>(AA17/(2*AA20))*(1+SQRT(1-(2*AA20)^2))</f>
        <v>#NUM!</v>
      </c>
      <c r="AB24" s="14" t="s">
        <v>14</v>
      </c>
    </row>
    <row r="25" spans="20:27" ht="12.75">
      <c r="T25" s="7" t="s">
        <v>29</v>
      </c>
      <c r="U25" s="8">
        <f>U22/(1.2*(343*U18*0.0001)^2)</f>
        <v>0.08836269141783411</v>
      </c>
      <c r="V25" s="9" t="s">
        <v>16</v>
      </c>
      <c r="AA25" s="35"/>
    </row>
    <row r="26" spans="20:27" ht="12.75">
      <c r="T26" s="7" t="s">
        <v>79</v>
      </c>
      <c r="U26" s="16">
        <f>U25*U10^2</f>
        <v>9.19325441511146</v>
      </c>
      <c r="V26" s="9" t="s">
        <v>13</v>
      </c>
      <c r="Z26" t="s">
        <v>43</v>
      </c>
      <c r="AA26" s="35"/>
    </row>
    <row r="27" spans="20:28" ht="12.75">
      <c r="T27" s="7" t="s">
        <v>30</v>
      </c>
      <c r="U27" s="11">
        <f>U10^2/U28</f>
        <v>0.21985925975745665</v>
      </c>
      <c r="V27" s="9" t="s">
        <v>15</v>
      </c>
      <c r="Z27" s="4" t="s">
        <v>39</v>
      </c>
      <c r="AA27" s="34">
        <f>AA17/(2*AA20)</f>
        <v>32.70062662641969</v>
      </c>
      <c r="AB27" s="6" t="s">
        <v>14</v>
      </c>
    </row>
    <row r="28" spans="20:28" ht="12.75">
      <c r="T28" s="12" t="s">
        <v>31</v>
      </c>
      <c r="U28" s="13">
        <f>U23*2*PI()*AA17*U26/1000</f>
        <v>473.21181793650345</v>
      </c>
      <c r="V28" s="14" t="s">
        <v>12</v>
      </c>
      <c r="Z28" s="26" t="s">
        <v>44</v>
      </c>
      <c r="AA28" s="13">
        <f>AA27*SQRT(-1+(2*AA20)^2)</f>
        <v>75.1136811247235</v>
      </c>
      <c r="AB28" s="14" t="s">
        <v>14</v>
      </c>
    </row>
    <row r="29" spans="26:33" ht="12.75">
      <c r="Z29" s="89"/>
      <c r="AA29" s="50"/>
      <c r="AB29" s="19"/>
      <c r="AD29" s="31"/>
      <c r="AE29" s="19"/>
      <c r="AF29" s="11"/>
      <c r="AG29" s="46"/>
    </row>
    <row r="30" spans="20:33" ht="12.75">
      <c r="T30" t="s">
        <v>82</v>
      </c>
      <c r="Z30" t="s">
        <v>47</v>
      </c>
      <c r="AD30" s="31"/>
      <c r="AE30" s="19"/>
      <c r="AF30" s="11"/>
      <c r="AG30" s="46"/>
    </row>
    <row r="31" spans="20:33" ht="12.75">
      <c r="T31" s="4" t="s">
        <v>83</v>
      </c>
      <c r="U31" s="18"/>
      <c r="V31" s="5">
        <v>20</v>
      </c>
      <c r="W31" s="6" t="s">
        <v>14</v>
      </c>
      <c r="Z31" s="4" t="s">
        <v>0</v>
      </c>
      <c r="AA31" s="18"/>
      <c r="AB31" s="24">
        <f>U7</f>
        <v>5.6</v>
      </c>
      <c r="AC31" s="6" t="s">
        <v>12</v>
      </c>
      <c r="AD31" s="31"/>
      <c r="AE31" s="19"/>
      <c r="AF31" s="11"/>
      <c r="AG31" s="46"/>
    </row>
    <row r="32" spans="20:33" ht="12.75">
      <c r="T32" s="7" t="s">
        <v>84</v>
      </c>
      <c r="U32" s="19"/>
      <c r="V32" s="10">
        <v>0.5</v>
      </c>
      <c r="W32" s="9"/>
      <c r="Z32" s="7" t="s">
        <v>1</v>
      </c>
      <c r="AA32" s="19"/>
      <c r="AB32" s="20">
        <f>U8</f>
        <v>3.3</v>
      </c>
      <c r="AC32" s="9" t="s">
        <v>13</v>
      </c>
      <c r="AD32" s="31"/>
      <c r="AE32" s="19"/>
      <c r="AF32" s="11"/>
      <c r="AG32" s="46"/>
    </row>
    <row r="33" spans="20:33" ht="12.75">
      <c r="T33" s="68"/>
      <c r="U33" s="19"/>
      <c r="V33" s="19"/>
      <c r="W33" s="9"/>
      <c r="Z33" s="7" t="s">
        <v>20</v>
      </c>
      <c r="AA33" s="19"/>
      <c r="AB33" s="16">
        <f>1000*U15/(U10^2)</f>
        <v>491.15724721261057</v>
      </c>
      <c r="AC33" s="9" t="s">
        <v>24</v>
      </c>
      <c r="AD33" s="31"/>
      <c r="AE33" s="19"/>
      <c r="AF33" s="11"/>
      <c r="AG33" s="46"/>
    </row>
    <row r="34" spans="20:33" ht="12.75">
      <c r="T34" s="7" t="s">
        <v>85</v>
      </c>
      <c r="U34" s="19"/>
      <c r="V34" s="50">
        <f>V31*SQRT(-(1-1/(2*V32^2))+SQRT(1+(1-1/(2*V32^2))^2))</f>
        <v>31.075479480600748</v>
      </c>
      <c r="W34" s="9" t="s">
        <v>14</v>
      </c>
      <c r="Z34" s="7" t="s">
        <v>19</v>
      </c>
      <c r="AA34" s="19"/>
      <c r="AB34" s="16">
        <f>AA15*U10^2</f>
        <v>7.684344685745274</v>
      </c>
      <c r="AC34" s="9" t="s">
        <v>13</v>
      </c>
      <c r="AD34" s="31"/>
      <c r="AE34" s="19"/>
      <c r="AF34" s="11"/>
      <c r="AG34" s="46"/>
    </row>
    <row r="35" spans="20:33" ht="12.75">
      <c r="T35" s="48" t="s">
        <v>94</v>
      </c>
      <c r="U35" s="22"/>
      <c r="V35" s="21">
        <v>85</v>
      </c>
      <c r="W35" s="14" t="s">
        <v>95</v>
      </c>
      <c r="Z35" s="12" t="s">
        <v>21</v>
      </c>
      <c r="AA35" s="22"/>
      <c r="AB35" s="25">
        <f>((U10^2)/U14)*U28/(U28+((U10^2)/U14))</f>
        <v>42.994235958345755</v>
      </c>
      <c r="AC35" s="14" t="s">
        <v>12</v>
      </c>
      <c r="AD35" s="31"/>
      <c r="AE35" s="19"/>
      <c r="AF35" s="11"/>
      <c r="AG35" s="46"/>
    </row>
    <row r="36" spans="26:33" ht="12.75">
      <c r="Z36" s="89"/>
      <c r="AA36" s="50"/>
      <c r="AB36" s="19"/>
      <c r="AD36" s="31"/>
      <c r="AE36" s="19"/>
      <c r="AF36" s="11"/>
      <c r="AG36" s="46"/>
    </row>
    <row r="37" spans="20:33" ht="12.75">
      <c r="T37" t="s">
        <v>152</v>
      </c>
      <c r="Z37" t="s">
        <v>86</v>
      </c>
      <c r="AD37" s="31"/>
      <c r="AE37" s="19"/>
      <c r="AF37" s="11"/>
      <c r="AG37" s="46"/>
    </row>
    <row r="38" spans="20:33" ht="12.75">
      <c r="T38" s="4" t="s">
        <v>150</v>
      </c>
      <c r="U38" s="5">
        <v>180</v>
      </c>
      <c r="V38" s="6" t="s">
        <v>56</v>
      </c>
      <c r="Z38" s="4" t="s">
        <v>87</v>
      </c>
      <c r="AA38" s="18"/>
      <c r="AB38" s="24">
        <f>V31</f>
        <v>20</v>
      </c>
      <c r="AC38" s="6" t="s">
        <v>14</v>
      </c>
      <c r="AD38" s="31"/>
      <c r="AE38" s="19"/>
      <c r="AF38" s="11"/>
      <c r="AG38" s="46"/>
    </row>
    <row r="39" spans="20:33" ht="12.75">
      <c r="T39" s="7" t="s">
        <v>151</v>
      </c>
      <c r="U39" s="10">
        <v>4</v>
      </c>
      <c r="V39" s="9" t="s">
        <v>12</v>
      </c>
      <c r="Z39" s="12" t="s">
        <v>84</v>
      </c>
      <c r="AA39" s="22"/>
      <c r="AB39" s="29">
        <f>V32</f>
        <v>0.5</v>
      </c>
      <c r="AC39" s="14"/>
      <c r="AD39" s="31"/>
      <c r="AE39" s="19"/>
      <c r="AF39" s="11"/>
      <c r="AG39" s="46"/>
    </row>
    <row r="40" spans="20:33" ht="12.75">
      <c r="T40" s="7" t="s">
        <v>163</v>
      </c>
      <c r="U40" s="10">
        <v>10</v>
      </c>
      <c r="V40" s="9" t="s">
        <v>55</v>
      </c>
      <c r="Z40" s="49" t="s">
        <v>88</v>
      </c>
      <c r="AA40" s="19"/>
      <c r="AB40" s="20"/>
      <c r="AC40" s="9"/>
      <c r="AD40" s="31"/>
      <c r="AE40" s="19"/>
      <c r="AF40" s="11"/>
      <c r="AG40" s="46"/>
    </row>
    <row r="41" spans="20:33" ht="12.75">
      <c r="T41" s="68"/>
      <c r="U41" s="19"/>
      <c r="V41" s="9"/>
      <c r="Z41" s="7" t="s">
        <v>89</v>
      </c>
      <c r="AA41" s="19"/>
      <c r="AB41" s="50" t="e">
        <f>AA23</f>
        <v>#NUM!</v>
      </c>
      <c r="AC41" s="9" t="s">
        <v>14</v>
      </c>
      <c r="AD41" s="31"/>
      <c r="AE41" s="19"/>
      <c r="AF41" s="11"/>
      <c r="AG41" s="46"/>
    </row>
    <row r="42" spans="20:33" ht="12.75">
      <c r="T42" s="7" t="s">
        <v>154</v>
      </c>
      <c r="U42" s="16">
        <f>1.41*SQRT(U38*U39)</f>
        <v>37.83427017929644</v>
      </c>
      <c r="V42" s="9" t="s">
        <v>164</v>
      </c>
      <c r="Z42" s="12" t="s">
        <v>90</v>
      </c>
      <c r="AA42" s="22"/>
      <c r="AB42" s="13" t="e">
        <f>AA24</f>
        <v>#NUM!</v>
      </c>
      <c r="AC42" s="14" t="s">
        <v>14</v>
      </c>
      <c r="AD42" s="31"/>
      <c r="AE42" s="19"/>
      <c r="AF42" s="11"/>
      <c r="AG42" s="46"/>
    </row>
    <row r="43" spans="20:33" ht="12.75">
      <c r="T43" s="12" t="s">
        <v>153</v>
      </c>
      <c r="U43" s="25">
        <f>1.41*SQRT(U38/U39)</f>
        <v>9.45856754482411</v>
      </c>
      <c r="V43" s="14" t="s">
        <v>165</v>
      </c>
      <c r="Z43" s="49" t="s">
        <v>91</v>
      </c>
      <c r="AA43" s="19"/>
      <c r="AB43" s="20"/>
      <c r="AC43" s="9"/>
      <c r="AD43" s="31"/>
      <c r="AE43" s="19"/>
      <c r="AF43" s="11"/>
      <c r="AG43" s="46"/>
    </row>
    <row r="44" spans="26:33" ht="12.75">
      <c r="Z44" s="7" t="s">
        <v>92</v>
      </c>
      <c r="AA44" s="19"/>
      <c r="AB44" s="50">
        <f>SQRT(AA27^2+AA28^2)</f>
        <v>81.92311074334978</v>
      </c>
      <c r="AC44" s="9" t="s">
        <v>14</v>
      </c>
      <c r="AD44" s="31"/>
      <c r="AE44" s="19"/>
      <c r="AF44" s="11"/>
      <c r="AG44" s="46"/>
    </row>
    <row r="45" spans="20:33" ht="12.75">
      <c r="T45" t="s">
        <v>145</v>
      </c>
      <c r="Z45" s="12" t="s">
        <v>93</v>
      </c>
      <c r="AA45" s="22"/>
      <c r="AB45" s="17">
        <f>AB44/(2*AA27)</f>
        <v>1.2526229493896297</v>
      </c>
      <c r="AC45" s="14"/>
      <c r="AD45" s="31"/>
      <c r="AE45" s="19"/>
      <c r="AF45" s="11"/>
      <c r="AG45" s="46"/>
    </row>
    <row r="46" spans="20:33" ht="12.75">
      <c r="T46" s="4" t="s">
        <v>143</v>
      </c>
      <c r="U46" s="67">
        <v>99</v>
      </c>
      <c r="V46" s="6" t="s">
        <v>142</v>
      </c>
      <c r="Z46" s="64" t="s">
        <v>148</v>
      </c>
      <c r="AA46" s="69"/>
      <c r="AB46" s="71">
        <f>((AA17/V31)-(AA20/V32))/((AA20/V32)-(V31/AA17))</f>
        <v>0.7035953319984657</v>
      </c>
      <c r="AC46" s="70" t="s">
        <v>149</v>
      </c>
      <c r="AD46" s="31"/>
      <c r="AE46" s="19"/>
      <c r="AF46" s="11"/>
      <c r="AG46" s="46"/>
    </row>
    <row r="47" spans="20:33" ht="12.75">
      <c r="T47" s="68"/>
      <c r="U47" s="19"/>
      <c r="V47" s="9"/>
      <c r="Z47" s="89"/>
      <c r="AA47" s="50"/>
      <c r="AB47" s="19"/>
      <c r="AD47" s="31"/>
      <c r="AE47" s="19"/>
      <c r="AF47" s="11"/>
      <c r="AG47" s="46"/>
    </row>
    <row r="48" spans="20:33" ht="12.75">
      <c r="T48" s="12" t="s">
        <v>141</v>
      </c>
      <c r="U48" s="13">
        <f>196.9-3+20*LOG(U18*U19*0.0000001)-20*LOG(U46)</f>
        <v>82.54999198862478</v>
      </c>
      <c r="V48" s="14" t="s">
        <v>60</v>
      </c>
      <c r="Z48" t="s">
        <v>155</v>
      </c>
      <c r="AA48" s="1"/>
      <c r="AD48" s="31"/>
      <c r="AE48" s="19"/>
      <c r="AF48" s="11"/>
      <c r="AG48" s="46"/>
    </row>
    <row r="49" spans="20:33" ht="12.75">
      <c r="T49" t="s">
        <v>146</v>
      </c>
      <c r="Z49" s="4" t="s">
        <v>156</v>
      </c>
      <c r="AA49" s="5">
        <v>400</v>
      </c>
      <c r="AB49" s="6" t="s">
        <v>46</v>
      </c>
      <c r="AD49" s="31"/>
      <c r="AE49" s="19"/>
      <c r="AF49" s="11"/>
      <c r="AG49" s="46"/>
    </row>
    <row r="50" spans="26:33" ht="12.75">
      <c r="Z50" s="68"/>
      <c r="AA50" s="19"/>
      <c r="AB50" s="9"/>
      <c r="AD50" s="31"/>
      <c r="AE50" s="19"/>
      <c r="AF50" s="11"/>
      <c r="AG50" s="46"/>
    </row>
    <row r="51" spans="26:33" ht="12.75">
      <c r="Z51" s="12" t="s">
        <v>157</v>
      </c>
      <c r="AA51" s="13">
        <f>170*343/AA49</f>
        <v>145.775</v>
      </c>
      <c r="AB51" s="14" t="s">
        <v>14</v>
      </c>
      <c r="AD51" s="31"/>
      <c r="AE51" s="19"/>
      <c r="AF51" s="11"/>
      <c r="AG51" s="46"/>
    </row>
    <row r="52" spans="26:33" ht="12.75">
      <c r="Z52" s="89"/>
      <c r="AA52" s="50"/>
      <c r="AB52" s="19"/>
      <c r="AD52" s="31"/>
      <c r="AE52" s="19"/>
      <c r="AF52" s="11"/>
      <c r="AG52" s="46"/>
    </row>
    <row r="53" spans="30:33" ht="12.75">
      <c r="AD53" s="31"/>
      <c r="AE53" s="19"/>
      <c r="AF53" s="11"/>
      <c r="AG53" s="46"/>
    </row>
    <row r="54" spans="26:33" ht="12.75">
      <c r="Z54" s="19" t="s">
        <v>128</v>
      </c>
      <c r="AA54" s="19"/>
      <c r="AB54" s="19"/>
      <c r="AC54" s="19"/>
      <c r="AD54" s="31"/>
      <c r="AE54" s="19"/>
      <c r="AF54" s="11"/>
      <c r="AG54" s="46"/>
    </row>
    <row r="55" spans="26:33" ht="12.75">
      <c r="Z55" s="59">
        <v>47</v>
      </c>
      <c r="AA55" s="60" t="s">
        <v>125</v>
      </c>
      <c r="AB55" s="34">
        <f>61.02*Z55</f>
        <v>2867.94</v>
      </c>
      <c r="AC55" s="6" t="s">
        <v>124</v>
      </c>
      <c r="AD55" s="31"/>
      <c r="AE55" s="19"/>
      <c r="AF55" s="11"/>
      <c r="AG55" s="46"/>
    </row>
    <row r="56" spans="26:33" ht="12.75">
      <c r="Z56" s="61">
        <v>3051</v>
      </c>
      <c r="AA56" s="46" t="s">
        <v>126</v>
      </c>
      <c r="AB56" s="16">
        <f>Z56/61.02</f>
        <v>50</v>
      </c>
      <c r="AC56" s="9" t="s">
        <v>17</v>
      </c>
      <c r="AD56" s="31"/>
      <c r="AE56" s="19"/>
      <c r="AF56" s="11"/>
      <c r="AG56" s="46"/>
    </row>
    <row r="57" spans="26:33" ht="12.75">
      <c r="Z57" s="61">
        <v>2868</v>
      </c>
      <c r="AA57" s="46" t="s">
        <v>126</v>
      </c>
      <c r="AB57" s="11">
        <f>Z57/1728</f>
        <v>1.6597222222222223</v>
      </c>
      <c r="AC57" s="9" t="s">
        <v>127</v>
      </c>
      <c r="AD57" s="31"/>
      <c r="AE57" s="19"/>
      <c r="AF57" s="11"/>
      <c r="AG57" s="46"/>
    </row>
    <row r="58" spans="26:33" ht="12.75">
      <c r="Z58" s="61">
        <v>1.77</v>
      </c>
      <c r="AA58" s="19" t="s">
        <v>144</v>
      </c>
      <c r="AB58" s="16">
        <f>28.32*Z58</f>
        <v>50.126400000000004</v>
      </c>
      <c r="AC58" s="9" t="s">
        <v>17</v>
      </c>
      <c r="AD58" s="31"/>
      <c r="AE58" s="19"/>
      <c r="AF58" s="11"/>
      <c r="AG58" s="46"/>
    </row>
    <row r="59" spans="26:33" ht="12.75">
      <c r="Z59" s="62">
        <v>3500</v>
      </c>
      <c r="AA59" s="22" t="s">
        <v>144</v>
      </c>
      <c r="AB59" s="25">
        <f>Z59/35.31</f>
        <v>99.12206173888416</v>
      </c>
      <c r="AC59" s="14" t="s">
        <v>142</v>
      </c>
      <c r="AD59" s="31"/>
      <c r="AE59" s="19"/>
      <c r="AF59" s="11"/>
      <c r="AG59" s="46"/>
    </row>
    <row r="60" spans="30:33" ht="12.75">
      <c r="AD60" s="31"/>
      <c r="AE60" s="19"/>
      <c r="AF60" s="11"/>
      <c r="AG60" s="46"/>
    </row>
    <row r="61" spans="30:33" ht="12.75">
      <c r="AD61" s="31"/>
      <c r="AE61" s="19"/>
      <c r="AF61" s="11"/>
      <c r="AG61" s="46"/>
    </row>
    <row r="62" spans="30:33" ht="12.75">
      <c r="AD62" s="31"/>
      <c r="AE62" s="19"/>
      <c r="AF62" s="11"/>
      <c r="AG62" s="46"/>
    </row>
    <row r="63" spans="26:33" ht="12.75">
      <c r="Z63" t="s">
        <v>138</v>
      </c>
      <c r="AD63" s="31"/>
      <c r="AE63" s="19"/>
      <c r="AF63" s="11"/>
      <c r="AG63" s="46"/>
    </row>
    <row r="64" spans="26:33" ht="12.75">
      <c r="Z64" s="4" t="s">
        <v>137</v>
      </c>
      <c r="AA64" s="63">
        <f>0.014*U18*U19/U22</f>
        <v>2.68</v>
      </c>
      <c r="AB64" s="6" t="s">
        <v>112</v>
      </c>
      <c r="AD64" s="31"/>
      <c r="AE64" s="19"/>
      <c r="AF64" s="11"/>
      <c r="AG64" s="46"/>
    </row>
    <row r="65" spans="26:33" ht="12.75">
      <c r="Z65" s="12" t="s">
        <v>137</v>
      </c>
      <c r="AA65" s="13">
        <f>20*LOG(AA64/100)</f>
        <v>-31.437304119424226</v>
      </c>
      <c r="AB65" s="14" t="s">
        <v>60</v>
      </c>
      <c r="AD65" s="31"/>
      <c r="AE65" s="19"/>
      <c r="AF65" s="11"/>
      <c r="AG65" s="46"/>
    </row>
    <row r="66" spans="26:33" ht="12.75">
      <c r="Z66" t="s">
        <v>139</v>
      </c>
      <c r="AD66" s="31"/>
      <c r="AE66" s="19"/>
      <c r="AF66" s="11"/>
      <c r="AG66" s="46"/>
    </row>
    <row r="67" spans="30:33" ht="12.75">
      <c r="AD67" s="31"/>
      <c r="AE67" s="19"/>
      <c r="AF67" s="11"/>
      <c r="AG67" s="46"/>
    </row>
    <row r="68" spans="26:33" ht="12.75">
      <c r="Z68" t="s">
        <v>140</v>
      </c>
      <c r="AD68" s="31"/>
      <c r="AE68" s="19"/>
      <c r="AF68" s="11"/>
      <c r="AG68" s="46"/>
    </row>
    <row r="69" spans="26:33" ht="12.75">
      <c r="Z69" s="64" t="s">
        <v>141</v>
      </c>
      <c r="AA69" s="65">
        <f>196.9-3+20*LOG(0.0001*U18*U19/U22)</f>
        <v>159.54013516701102</v>
      </c>
      <c r="AB69" s="66" t="s">
        <v>60</v>
      </c>
      <c r="AD69" s="31"/>
      <c r="AE69" s="19"/>
      <c r="AF69" s="11"/>
      <c r="AG69" s="46"/>
    </row>
    <row r="70" spans="26:33" ht="12.75">
      <c r="Z70" s="89"/>
      <c r="AA70" s="50"/>
      <c r="AB70" s="19"/>
      <c r="AD70" s="31"/>
      <c r="AE70" s="19"/>
      <c r="AF70" s="11"/>
      <c r="AG70" s="46"/>
    </row>
    <row r="71" spans="26:33" ht="12.75">
      <c r="Z71" s="89"/>
      <c r="AA71" s="50"/>
      <c r="AB71" s="19"/>
      <c r="AD71" s="31"/>
      <c r="AE71" s="19"/>
      <c r="AF71" s="11"/>
      <c r="AG71" s="46"/>
    </row>
    <row r="72" spans="26:33" ht="12.75">
      <c r="Z72" s="89"/>
      <c r="AA72" s="50"/>
      <c r="AB72" s="19"/>
      <c r="AD72" s="31"/>
      <c r="AE72" s="19"/>
      <c r="AF72" s="11"/>
      <c r="AG72" s="46"/>
    </row>
    <row r="73" spans="26:33" ht="12.75">
      <c r="Z73" s="89"/>
      <c r="AA73" s="50"/>
      <c r="AB73" s="19"/>
      <c r="AD73" s="31"/>
      <c r="AE73" s="19"/>
      <c r="AF73" s="11"/>
      <c r="AG73" s="46"/>
    </row>
    <row r="74" spans="26:33" ht="12.75">
      <c r="Z74" s="89"/>
      <c r="AA74" s="50"/>
      <c r="AB74" s="19"/>
      <c r="AD74" s="31"/>
      <c r="AE74" s="19"/>
      <c r="AF74" s="11"/>
      <c r="AG74" s="46"/>
    </row>
    <row r="75" spans="26:33" ht="12.75">
      <c r="Z75" s="89"/>
      <c r="AA75" s="50"/>
      <c r="AB75" s="19"/>
      <c r="AD75" s="31"/>
      <c r="AE75" s="19"/>
      <c r="AF75" s="11"/>
      <c r="AG75" s="46"/>
    </row>
    <row r="76" spans="26:33" ht="12.75">
      <c r="Z76" s="89"/>
      <c r="AA76" s="50"/>
      <c r="AB76" s="19"/>
      <c r="AD76" s="31"/>
      <c r="AE76" s="19"/>
      <c r="AF76" s="11"/>
      <c r="AG76" s="46"/>
    </row>
    <row r="77" spans="26:33" ht="12.75">
      <c r="Z77" s="89"/>
      <c r="AA77" s="50"/>
      <c r="AB77" s="19"/>
      <c r="AD77" s="31"/>
      <c r="AE77" s="19"/>
      <c r="AF77" s="11"/>
      <c r="AG77" s="46"/>
    </row>
    <row r="78" spans="26:33" ht="12.75">
      <c r="Z78" s="89"/>
      <c r="AA78" s="50"/>
      <c r="AB78" s="19"/>
      <c r="AD78" s="31"/>
      <c r="AE78" s="19"/>
      <c r="AF78" s="11"/>
      <c r="AG78" s="46"/>
    </row>
    <row r="79" spans="26:33" ht="12.75">
      <c r="Z79" s="89"/>
      <c r="AA79" s="50"/>
      <c r="AB79" s="19"/>
      <c r="AD79" s="31"/>
      <c r="AE79" s="19"/>
      <c r="AF79" s="11"/>
      <c r="AG79" s="46"/>
    </row>
    <row r="80" spans="26:33" ht="12.75">
      <c r="Z80" s="89"/>
      <c r="AA80" s="50"/>
      <c r="AB80" s="19"/>
      <c r="AD80" s="31"/>
      <c r="AE80" s="19"/>
      <c r="AF80" s="11"/>
      <c r="AG80" s="46"/>
    </row>
    <row r="81" spans="26:33" ht="12.75">
      <c r="Z81" s="89"/>
      <c r="AA81" s="50"/>
      <c r="AB81" s="19"/>
      <c r="AD81" s="31"/>
      <c r="AE81" s="19"/>
      <c r="AF81" s="11"/>
      <c r="AG81" s="46"/>
    </row>
    <row r="82" spans="26:33" ht="12.75">
      <c r="Z82" s="89"/>
      <c r="AA82" s="50"/>
      <c r="AB82" s="19"/>
      <c r="AD82" s="31"/>
      <c r="AE82" s="19"/>
      <c r="AF82" s="11"/>
      <c r="AG82" s="46"/>
    </row>
    <row r="83" spans="26:33" ht="12.75">
      <c r="Z83" s="89"/>
      <c r="AA83" s="50"/>
      <c r="AB83" s="19"/>
      <c r="AD83" s="31"/>
      <c r="AE83" s="19"/>
      <c r="AF83" s="11"/>
      <c r="AG83" s="46"/>
    </row>
    <row r="84" spans="26:33" ht="12.75">
      <c r="Z84" s="89"/>
      <c r="AA84" s="50"/>
      <c r="AB84" s="19"/>
      <c r="AD84" s="31"/>
      <c r="AE84" s="19"/>
      <c r="AF84" s="11"/>
      <c r="AG84" s="46"/>
    </row>
    <row r="85" spans="26:33" ht="12.75">
      <c r="Z85" s="89"/>
      <c r="AA85" s="50"/>
      <c r="AB85" s="19"/>
      <c r="AD85" s="31"/>
      <c r="AE85" s="19"/>
      <c r="AF85" s="11"/>
      <c r="AG85" s="46"/>
    </row>
    <row r="86" spans="26:33" ht="12.75">
      <c r="Z86" s="89"/>
      <c r="AA86" s="50"/>
      <c r="AB86" s="19"/>
      <c r="AD86" s="31"/>
      <c r="AE86" s="19"/>
      <c r="AF86" s="11"/>
      <c r="AG86" s="46"/>
    </row>
    <row r="87" spans="26:33" ht="12.75">
      <c r="Z87" s="89"/>
      <c r="AA87" s="50"/>
      <c r="AB87" s="19"/>
      <c r="AD87" s="31"/>
      <c r="AE87" s="19"/>
      <c r="AF87" s="11"/>
      <c r="AG87" s="46"/>
    </row>
    <row r="88" spans="26:33" ht="12.75">
      <c r="Z88" s="89"/>
      <c r="AA88" s="50"/>
      <c r="AB88" s="19"/>
      <c r="AD88" s="31"/>
      <c r="AE88" s="19"/>
      <c r="AF88" s="11"/>
      <c r="AG88" s="46"/>
    </row>
    <row r="89" spans="26:33" ht="12.75">
      <c r="Z89" s="89"/>
      <c r="AA89" s="50"/>
      <c r="AB89" s="19"/>
      <c r="AD89" s="31"/>
      <c r="AE89" s="19"/>
      <c r="AF89" s="11"/>
      <c r="AG89" s="46"/>
    </row>
    <row r="90" spans="26:33" ht="12.75">
      <c r="Z90" s="89"/>
      <c r="AA90" s="50"/>
      <c r="AB90" s="19"/>
      <c r="AD90" s="31"/>
      <c r="AE90" s="19"/>
      <c r="AF90" s="11"/>
      <c r="AG90" s="46"/>
    </row>
    <row r="91" spans="26:33" ht="12.75">
      <c r="Z91" s="89"/>
      <c r="AA91" s="50"/>
      <c r="AB91" s="19"/>
      <c r="AD91" s="31"/>
      <c r="AE91" s="19"/>
      <c r="AF91" s="11"/>
      <c r="AG91" s="46"/>
    </row>
    <row r="92" spans="26:33" ht="12.75">
      <c r="Z92" s="89"/>
      <c r="AA92" s="50"/>
      <c r="AB92" s="19"/>
      <c r="AD92" s="31"/>
      <c r="AE92" s="19"/>
      <c r="AF92" s="11"/>
      <c r="AG92" s="46"/>
    </row>
    <row r="93" spans="26:33" ht="12.75">
      <c r="Z93" s="89"/>
      <c r="AA93" s="50"/>
      <c r="AB93" s="19"/>
      <c r="AD93" s="31"/>
      <c r="AE93" s="19"/>
      <c r="AF93" s="11"/>
      <c r="AG93" s="46"/>
    </row>
    <row r="94" spans="26:33" ht="12.75">
      <c r="Z94" s="89"/>
      <c r="AA94" s="50"/>
      <c r="AB94" s="19"/>
      <c r="AD94" s="31"/>
      <c r="AE94" s="19"/>
      <c r="AF94" s="11"/>
      <c r="AG94" s="46"/>
    </row>
    <row r="95" spans="26:33" ht="12.75">
      <c r="Z95" s="89"/>
      <c r="AA95" s="50"/>
      <c r="AB95" s="19"/>
      <c r="AD95" s="31"/>
      <c r="AE95" s="19"/>
      <c r="AF95" s="11"/>
      <c r="AG95" s="46"/>
    </row>
    <row r="96" spans="26:33" ht="12.75">
      <c r="Z96" s="89"/>
      <c r="AA96" s="50"/>
      <c r="AB96" s="19"/>
      <c r="AD96" s="31"/>
      <c r="AE96" s="19"/>
      <c r="AF96" s="11"/>
      <c r="AG96" s="46"/>
    </row>
    <row r="97" spans="26:33" ht="12.75">
      <c r="Z97" s="89"/>
      <c r="AA97" s="50"/>
      <c r="AB97" s="19"/>
      <c r="AD97" s="31"/>
      <c r="AE97" s="19"/>
      <c r="AF97" s="11"/>
      <c r="AG97" s="46"/>
    </row>
    <row r="98" spans="26:33" ht="12.75">
      <c r="Z98" s="89"/>
      <c r="AA98" s="50"/>
      <c r="AB98" s="19"/>
      <c r="AD98" s="31"/>
      <c r="AE98" s="19"/>
      <c r="AF98" s="11"/>
      <c r="AG98" s="46"/>
    </row>
    <row r="99" spans="26:33" ht="12.75">
      <c r="Z99" s="89"/>
      <c r="AA99" s="50"/>
      <c r="AB99" s="19"/>
      <c r="AD99" s="31"/>
      <c r="AE99" s="19"/>
      <c r="AF99" s="11"/>
      <c r="AG99" s="46"/>
    </row>
    <row r="100" spans="26:33" ht="12.75">
      <c r="Z100" s="89"/>
      <c r="AA100" s="50"/>
      <c r="AB100" s="19"/>
      <c r="AD100" s="31"/>
      <c r="AE100" s="19"/>
      <c r="AF100" s="11"/>
      <c r="AG100" s="46"/>
    </row>
    <row r="101" spans="26:33" ht="12.75">
      <c r="Z101" s="89"/>
      <c r="AA101" s="50"/>
      <c r="AB101" s="19"/>
      <c r="AD101" s="31"/>
      <c r="AE101" s="19"/>
      <c r="AF101" s="11"/>
      <c r="AG101" s="46"/>
    </row>
    <row r="102" spans="26:33" ht="12.75">
      <c r="Z102" s="89"/>
      <c r="AA102" s="50"/>
      <c r="AB102" s="19"/>
      <c r="AD102" s="31"/>
      <c r="AE102" s="19"/>
      <c r="AF102" s="11"/>
      <c r="AG102" s="46"/>
    </row>
    <row r="103" spans="26:33" ht="12.75">
      <c r="Z103" s="89"/>
      <c r="AA103" s="50"/>
      <c r="AB103" s="19"/>
      <c r="AD103" s="31"/>
      <c r="AE103" s="19"/>
      <c r="AF103" s="11"/>
      <c r="AG103" s="46"/>
    </row>
    <row r="104" spans="26:33" ht="12.75">
      <c r="Z104" s="89"/>
      <c r="AA104" s="50"/>
      <c r="AB104" s="19"/>
      <c r="AD104" s="31"/>
      <c r="AE104" s="19"/>
      <c r="AF104" s="11"/>
      <c r="AG104" s="46"/>
    </row>
    <row r="105" spans="26:33" ht="12.75">
      <c r="Z105" s="89"/>
      <c r="AA105" s="50"/>
      <c r="AB105" s="19"/>
      <c r="AD105" s="31"/>
      <c r="AE105" s="19"/>
      <c r="AF105" s="11"/>
      <c r="AG105" s="46"/>
    </row>
    <row r="106" spans="26:33" ht="12.75">
      <c r="Z106" s="89"/>
      <c r="AA106" s="50"/>
      <c r="AB106" s="19"/>
      <c r="AD106" s="31"/>
      <c r="AE106" s="19"/>
      <c r="AF106" s="11"/>
      <c r="AG106" s="46"/>
    </row>
    <row r="107" spans="26:33" ht="12.75">
      <c r="Z107" s="89"/>
      <c r="AA107" s="50"/>
      <c r="AB107" s="19"/>
      <c r="AD107" s="31"/>
      <c r="AE107" s="19"/>
      <c r="AF107" s="11"/>
      <c r="AG107" s="46"/>
    </row>
    <row r="108" spans="26:33" ht="12.75">
      <c r="Z108" s="89"/>
      <c r="AA108" s="50"/>
      <c r="AB108" s="19"/>
      <c r="AD108" s="31"/>
      <c r="AE108" s="19"/>
      <c r="AF108" s="11"/>
      <c r="AG108" s="46"/>
    </row>
    <row r="109" spans="26:33" ht="12.75">
      <c r="Z109" s="89"/>
      <c r="AA109" s="50"/>
      <c r="AB109" s="19"/>
      <c r="AD109" s="31"/>
      <c r="AE109" s="19"/>
      <c r="AF109" s="11"/>
      <c r="AG109" s="46"/>
    </row>
    <row r="110" spans="26:33" ht="12.75">
      <c r="Z110" s="89"/>
      <c r="AA110" s="50"/>
      <c r="AB110" s="19"/>
      <c r="AD110" s="31"/>
      <c r="AE110" s="19"/>
      <c r="AF110" s="11"/>
      <c r="AG110" s="46"/>
    </row>
    <row r="111" spans="26:33" ht="12.75">
      <c r="Z111" s="89"/>
      <c r="AA111" s="50"/>
      <c r="AB111" s="19"/>
      <c r="AD111" s="31"/>
      <c r="AE111" s="19"/>
      <c r="AF111" s="11"/>
      <c r="AG111" s="46"/>
    </row>
    <row r="112" spans="26:33" ht="12.75">
      <c r="Z112" s="89"/>
      <c r="AA112" s="50"/>
      <c r="AB112" s="19"/>
      <c r="AD112" s="31"/>
      <c r="AE112" s="19"/>
      <c r="AF112" s="11"/>
      <c r="AG112" s="46"/>
    </row>
    <row r="113" spans="26:33" ht="12.75">
      <c r="Z113" s="89"/>
      <c r="AA113" s="50"/>
      <c r="AB113" s="19"/>
      <c r="AD113" s="31"/>
      <c r="AE113" s="19"/>
      <c r="AF113" s="11"/>
      <c r="AG113" s="46"/>
    </row>
    <row r="114" spans="26:33" ht="12.75">
      <c r="Z114" s="89"/>
      <c r="AA114" s="50"/>
      <c r="AB114" s="19"/>
      <c r="AD114" s="31"/>
      <c r="AE114" s="19"/>
      <c r="AF114" s="11"/>
      <c r="AG114" s="46"/>
    </row>
    <row r="115" spans="26:33" ht="12.75">
      <c r="Z115" s="89"/>
      <c r="AA115" s="50"/>
      <c r="AB115" s="19"/>
      <c r="AD115" s="31"/>
      <c r="AE115" s="19"/>
      <c r="AF115" s="11"/>
      <c r="AG115" s="46"/>
    </row>
    <row r="116" spans="26:33" ht="12.75">
      <c r="Z116" s="89"/>
      <c r="AA116" s="50"/>
      <c r="AB116" s="19"/>
      <c r="AD116" s="31"/>
      <c r="AE116" s="19"/>
      <c r="AF116" s="11"/>
      <c r="AG116" s="46"/>
    </row>
    <row r="117" spans="26:33" ht="12.75">
      <c r="Z117" s="89"/>
      <c r="AA117" s="50"/>
      <c r="AB117" s="19"/>
      <c r="AD117" s="31"/>
      <c r="AE117" s="19"/>
      <c r="AF117" s="11"/>
      <c r="AG117" s="46"/>
    </row>
    <row r="118" spans="26:33" ht="12.75">
      <c r="Z118" s="89"/>
      <c r="AA118" s="50"/>
      <c r="AB118" s="19"/>
      <c r="AD118" s="31"/>
      <c r="AE118" s="19"/>
      <c r="AF118" s="11"/>
      <c r="AG118" s="46"/>
    </row>
    <row r="119" spans="26:33" ht="12.75">
      <c r="Z119" s="89"/>
      <c r="AA119" s="50"/>
      <c r="AB119" s="19"/>
      <c r="AD119" s="31"/>
      <c r="AE119" s="19"/>
      <c r="AF119" s="11"/>
      <c r="AG119" s="46"/>
    </row>
    <row r="120" spans="26:33" ht="12.75">
      <c r="Z120" s="89"/>
      <c r="AA120" s="50"/>
      <c r="AB120" s="19"/>
      <c r="AD120" s="31"/>
      <c r="AE120" s="19"/>
      <c r="AF120" s="11"/>
      <c r="AG120" s="46"/>
    </row>
    <row r="121" spans="26:33" ht="12.75">
      <c r="Z121" s="89"/>
      <c r="AA121" s="50"/>
      <c r="AB121" s="19"/>
      <c r="AD121" s="31"/>
      <c r="AE121" s="19"/>
      <c r="AF121" s="11"/>
      <c r="AG121" s="46"/>
    </row>
    <row r="122" spans="26:33" ht="12.75">
      <c r="Z122" s="89"/>
      <c r="AA122" s="50"/>
      <c r="AB122" s="19"/>
      <c r="AD122" s="31"/>
      <c r="AE122" s="19"/>
      <c r="AF122" s="11"/>
      <c r="AG122" s="46"/>
    </row>
    <row r="123" spans="26:33" ht="12.75">
      <c r="Z123" s="89"/>
      <c r="AA123" s="50"/>
      <c r="AB123" s="19"/>
      <c r="AD123" s="31"/>
      <c r="AE123" s="19"/>
      <c r="AF123" s="11"/>
      <c r="AG123" s="46"/>
    </row>
    <row r="124" spans="26:33" ht="12.75">
      <c r="Z124" s="89"/>
      <c r="AA124" s="50"/>
      <c r="AB124" s="19"/>
      <c r="AD124" s="31"/>
      <c r="AE124" s="19"/>
      <c r="AF124" s="11"/>
      <c r="AG124" s="46"/>
    </row>
    <row r="125" spans="26:33" ht="12.75">
      <c r="Z125" s="89"/>
      <c r="AA125" s="50"/>
      <c r="AB125" s="19"/>
      <c r="AD125" s="31"/>
      <c r="AE125" s="19"/>
      <c r="AF125" s="11"/>
      <c r="AG125" s="46"/>
    </row>
    <row r="126" spans="26:33" ht="12.75">
      <c r="Z126" s="89"/>
      <c r="AA126" s="50"/>
      <c r="AB126" s="19"/>
      <c r="AD126" s="31"/>
      <c r="AE126" s="19"/>
      <c r="AF126" s="11"/>
      <c r="AG126" s="46"/>
    </row>
    <row r="127" spans="26:33" ht="12.75">
      <c r="Z127" s="89"/>
      <c r="AA127" s="50"/>
      <c r="AB127" s="19"/>
      <c r="AD127" s="31"/>
      <c r="AE127" s="19"/>
      <c r="AF127" s="11"/>
      <c r="AG127" s="46"/>
    </row>
    <row r="128" spans="26:33" ht="12.75">
      <c r="Z128" s="89"/>
      <c r="AA128" s="50"/>
      <c r="AB128" s="19"/>
      <c r="AD128" s="31"/>
      <c r="AE128" s="19"/>
      <c r="AF128" s="11"/>
      <c r="AG128" s="46"/>
    </row>
    <row r="129" spans="26:33" ht="12.75">
      <c r="Z129" s="89"/>
      <c r="AA129" s="50"/>
      <c r="AB129" s="19"/>
      <c r="AD129" s="31"/>
      <c r="AE129" s="19"/>
      <c r="AF129" s="11"/>
      <c r="AG129" s="46"/>
    </row>
    <row r="130" spans="26:33" ht="12.75">
      <c r="Z130" s="89"/>
      <c r="AA130" s="50"/>
      <c r="AB130" s="19"/>
      <c r="AD130" s="31"/>
      <c r="AE130" s="19"/>
      <c r="AF130" s="11"/>
      <c r="AG130" s="46"/>
    </row>
    <row r="131" spans="26:33" ht="12.75">
      <c r="Z131" s="89"/>
      <c r="AA131" s="50"/>
      <c r="AB131" s="19"/>
      <c r="AD131" s="31"/>
      <c r="AE131" s="19"/>
      <c r="AF131" s="11"/>
      <c r="AG131" s="46"/>
    </row>
    <row r="132" spans="26:33" ht="12.75">
      <c r="Z132" s="89"/>
      <c r="AA132" s="50"/>
      <c r="AB132" s="19"/>
      <c r="AD132" s="31"/>
      <c r="AE132" s="19"/>
      <c r="AF132" s="11"/>
      <c r="AG132" s="46"/>
    </row>
    <row r="133" spans="26:33" ht="12.75">
      <c r="Z133" s="89"/>
      <c r="AA133" s="50"/>
      <c r="AB133" s="19"/>
      <c r="AD133" s="31"/>
      <c r="AE133" s="19"/>
      <c r="AF133" s="11"/>
      <c r="AG133" s="46"/>
    </row>
    <row r="134" spans="26:33" ht="12.75">
      <c r="Z134" s="89"/>
      <c r="AA134" s="50"/>
      <c r="AB134" s="19"/>
      <c r="AD134" s="31"/>
      <c r="AE134" s="19"/>
      <c r="AF134" s="11"/>
      <c r="AG134" s="46"/>
    </row>
    <row r="135" spans="26:33" ht="12.75">
      <c r="Z135" s="89"/>
      <c r="AA135" s="50"/>
      <c r="AB135" s="19"/>
      <c r="AD135" s="31"/>
      <c r="AE135" s="19"/>
      <c r="AF135" s="11"/>
      <c r="AG135" s="46"/>
    </row>
    <row r="136" spans="26:33" ht="12.75">
      <c r="Z136" s="89"/>
      <c r="AA136" s="50"/>
      <c r="AB136" s="19"/>
      <c r="AD136" s="31"/>
      <c r="AE136" s="19"/>
      <c r="AF136" s="11"/>
      <c r="AG136" s="46"/>
    </row>
    <row r="137" spans="26:33" ht="12.75">
      <c r="Z137" s="89"/>
      <c r="AA137" s="50"/>
      <c r="AB137" s="19"/>
      <c r="AD137" s="31"/>
      <c r="AE137" s="19"/>
      <c r="AF137" s="11"/>
      <c r="AG137" s="46"/>
    </row>
    <row r="138" spans="26:33" ht="12.75">
      <c r="Z138" s="89"/>
      <c r="AA138" s="50"/>
      <c r="AB138" s="19"/>
      <c r="AD138" s="31"/>
      <c r="AE138" s="19"/>
      <c r="AF138" s="11"/>
      <c r="AG138" s="46"/>
    </row>
    <row r="139" spans="26:33" ht="12.75">
      <c r="Z139" s="89"/>
      <c r="AA139" s="50"/>
      <c r="AB139" s="19"/>
      <c r="AD139" s="31"/>
      <c r="AE139" s="19"/>
      <c r="AF139" s="11"/>
      <c r="AG139" s="46"/>
    </row>
    <row r="140" spans="26:33" ht="12.75">
      <c r="Z140" s="89"/>
      <c r="AA140" s="50"/>
      <c r="AB140" s="19"/>
      <c r="AD140" s="31"/>
      <c r="AE140" s="19"/>
      <c r="AF140" s="11"/>
      <c r="AG140" s="46"/>
    </row>
    <row r="141" spans="26:33" ht="12.75">
      <c r="Z141" s="89"/>
      <c r="AA141" s="50"/>
      <c r="AB141" s="19"/>
      <c r="AD141" s="31"/>
      <c r="AE141" s="19"/>
      <c r="AF141" s="11"/>
      <c r="AG141" s="46"/>
    </row>
    <row r="142" spans="26:33" ht="12.75">
      <c r="Z142" s="89"/>
      <c r="AA142" s="50"/>
      <c r="AB142" s="19"/>
      <c r="AD142" s="31"/>
      <c r="AE142" s="19"/>
      <c r="AF142" s="11"/>
      <c r="AG142" s="46"/>
    </row>
    <row r="143" spans="26:33" ht="12.75">
      <c r="Z143" s="89"/>
      <c r="AA143" s="50"/>
      <c r="AB143" s="19"/>
      <c r="AD143" s="31"/>
      <c r="AE143" s="19"/>
      <c r="AF143" s="11"/>
      <c r="AG143" s="46"/>
    </row>
    <row r="144" spans="26:33" ht="12.75">
      <c r="Z144" s="89"/>
      <c r="AA144" s="50"/>
      <c r="AB144" s="19"/>
      <c r="AD144" s="31"/>
      <c r="AE144" s="19"/>
      <c r="AF144" s="11"/>
      <c r="AG144" s="46"/>
    </row>
    <row r="145" spans="26:33" ht="12.75">
      <c r="Z145" s="89"/>
      <c r="AA145" s="50"/>
      <c r="AB145" s="19"/>
      <c r="AD145" s="31"/>
      <c r="AE145" s="19"/>
      <c r="AF145" s="11"/>
      <c r="AG145" s="46"/>
    </row>
    <row r="146" spans="26:33" ht="12.75">
      <c r="Z146" s="89"/>
      <c r="AA146" s="50"/>
      <c r="AB146" s="19"/>
      <c r="AD146" s="31"/>
      <c r="AE146" s="19"/>
      <c r="AF146" s="11"/>
      <c r="AG146" s="46"/>
    </row>
    <row r="147" spans="26:33" ht="12.75">
      <c r="Z147" s="89"/>
      <c r="AA147" s="50"/>
      <c r="AB147" s="19"/>
      <c r="AD147" s="31"/>
      <c r="AE147" s="19"/>
      <c r="AF147" s="11"/>
      <c r="AG147" s="46"/>
    </row>
    <row r="148" spans="26:33" ht="12.75">
      <c r="Z148" s="89"/>
      <c r="AA148" s="50"/>
      <c r="AB148" s="19"/>
      <c r="AD148" s="31"/>
      <c r="AE148" s="19"/>
      <c r="AF148" s="11"/>
      <c r="AG148" s="46"/>
    </row>
    <row r="149" spans="26:33" ht="12.75">
      <c r="Z149" s="89"/>
      <c r="AA149" s="50"/>
      <c r="AB149" s="19"/>
      <c r="AD149" s="31"/>
      <c r="AE149" s="19"/>
      <c r="AF149" s="11"/>
      <c r="AG149" s="46"/>
    </row>
    <row r="150" spans="26:33" ht="12.75">
      <c r="Z150" s="89"/>
      <c r="AA150" s="50"/>
      <c r="AB150" s="19"/>
      <c r="AD150" s="31"/>
      <c r="AE150" s="19"/>
      <c r="AF150" s="11"/>
      <c r="AG150" s="46"/>
    </row>
    <row r="151" spans="26:33" ht="12.75">
      <c r="Z151" s="89"/>
      <c r="AA151" s="50"/>
      <c r="AB151" s="19"/>
      <c r="AD151" s="31"/>
      <c r="AE151" s="19"/>
      <c r="AF151" s="11"/>
      <c r="AG151" s="46"/>
    </row>
    <row r="152" spans="26:33" ht="12.75">
      <c r="Z152" s="89"/>
      <c r="AA152" s="50"/>
      <c r="AB152" s="19"/>
      <c r="AD152" s="31"/>
      <c r="AE152" s="19"/>
      <c r="AF152" s="11"/>
      <c r="AG152" s="46"/>
    </row>
    <row r="153" spans="26:33" ht="12.75">
      <c r="Z153" s="89"/>
      <c r="AA153" s="50"/>
      <c r="AB153" s="19"/>
      <c r="AD153" s="31"/>
      <c r="AE153" s="19"/>
      <c r="AF153" s="11"/>
      <c r="AG153" s="46"/>
    </row>
    <row r="154" spans="26:33" ht="12.75">
      <c r="Z154" s="89"/>
      <c r="AA154" s="50"/>
      <c r="AB154" s="19"/>
      <c r="AD154" s="31"/>
      <c r="AE154" s="19"/>
      <c r="AF154" s="11"/>
      <c r="AG154" s="46"/>
    </row>
    <row r="155" spans="26:33" ht="12.75">
      <c r="Z155" s="89"/>
      <c r="AA155" s="50"/>
      <c r="AB155" s="19"/>
      <c r="AD155" s="31"/>
      <c r="AE155" s="19"/>
      <c r="AF155" s="11"/>
      <c r="AG155" s="46"/>
    </row>
    <row r="156" spans="26:33" ht="12.75">
      <c r="Z156" s="89"/>
      <c r="AA156" s="50"/>
      <c r="AB156" s="19"/>
      <c r="AD156" s="31"/>
      <c r="AE156" s="19"/>
      <c r="AF156" s="11"/>
      <c r="AG156" s="46"/>
    </row>
    <row r="157" spans="26:33" ht="12.75">
      <c r="Z157" s="89"/>
      <c r="AA157" s="50"/>
      <c r="AB157" s="19"/>
      <c r="AD157" s="31"/>
      <c r="AE157" s="19"/>
      <c r="AF157" s="11"/>
      <c r="AG157" s="46"/>
    </row>
    <row r="158" ht="12.75">
      <c r="W158" t="s">
        <v>57</v>
      </c>
    </row>
    <row r="159" ht="12.75">
      <c r="AT159" t="s">
        <v>158</v>
      </c>
    </row>
    <row r="160" spans="21:51" ht="12.75">
      <c r="U160" t="s">
        <v>129</v>
      </c>
      <c r="Z160" t="s">
        <v>130</v>
      </c>
      <c r="AD160" t="s">
        <v>131</v>
      </c>
      <c r="AE160" s="46"/>
      <c r="AF160" s="46" t="s">
        <v>132</v>
      </c>
      <c r="AG160" s="19"/>
      <c r="AH160" s="46">
        <f>U19</f>
        <v>8</v>
      </c>
      <c r="AI160" s="19" t="s">
        <v>46</v>
      </c>
      <c r="AJ160" s="19"/>
      <c r="AK160" s="19"/>
      <c r="AM160" t="s">
        <v>133</v>
      </c>
      <c r="AQ160" t="s">
        <v>147</v>
      </c>
      <c r="AV160" s="72">
        <f>U42</f>
        <v>37.83427017929644</v>
      </c>
      <c r="AW160" t="s">
        <v>65</v>
      </c>
      <c r="AY160" t="s">
        <v>159</v>
      </c>
    </row>
    <row r="161" spans="21:51" ht="12.75">
      <c r="U161" s="38"/>
      <c r="V161" s="18"/>
      <c r="W161" s="6"/>
      <c r="Z161" s="38"/>
      <c r="AA161" s="18"/>
      <c r="AB161" s="6"/>
      <c r="AD161" s="43" t="s">
        <v>80</v>
      </c>
      <c r="AE161" s="19"/>
      <c r="AF161" s="4" t="s">
        <v>57</v>
      </c>
      <c r="AG161" s="18"/>
      <c r="AH161" s="18"/>
      <c r="AI161" s="47" t="s">
        <v>66</v>
      </c>
      <c r="AJ161" s="47"/>
      <c r="AK161" s="6" t="s">
        <v>58</v>
      </c>
      <c r="AM161" s="43" t="s">
        <v>58</v>
      </c>
      <c r="AQ161" s="38" t="s">
        <v>58</v>
      </c>
      <c r="AR161" s="6"/>
      <c r="AT161" s="38"/>
      <c r="AU161" s="18"/>
      <c r="AV161" s="18"/>
      <c r="AW161" s="6" t="s">
        <v>58</v>
      </c>
      <c r="AX161" s="19"/>
      <c r="AY161" s="43" t="s">
        <v>58</v>
      </c>
    </row>
    <row r="162" spans="20:51" ht="12.75">
      <c r="T162" s="1" t="s">
        <v>48</v>
      </c>
      <c r="U162" s="39" t="s">
        <v>49</v>
      </c>
      <c r="V162" s="20" t="s">
        <v>50</v>
      </c>
      <c r="W162" s="40" t="s">
        <v>52</v>
      </c>
      <c r="Z162" s="39" t="s">
        <v>49</v>
      </c>
      <c r="AA162" s="20" t="s">
        <v>50</v>
      </c>
      <c r="AB162" s="40" t="s">
        <v>52</v>
      </c>
      <c r="AD162" s="44" t="s">
        <v>81</v>
      </c>
      <c r="AE162" s="19"/>
      <c r="AF162" s="39" t="s">
        <v>63</v>
      </c>
      <c r="AG162" s="20" t="s">
        <v>64</v>
      </c>
      <c r="AH162" s="20" t="s">
        <v>62</v>
      </c>
      <c r="AI162" s="20" t="s">
        <v>68</v>
      </c>
      <c r="AJ162" s="20" t="s">
        <v>67</v>
      </c>
      <c r="AK162" s="9" t="s">
        <v>59</v>
      </c>
      <c r="AL162" s="1" t="s">
        <v>61</v>
      </c>
      <c r="AM162" s="44" t="s">
        <v>59</v>
      </c>
      <c r="AN162" s="1" t="s">
        <v>96</v>
      </c>
      <c r="AO162" s="1" t="s">
        <v>97</v>
      </c>
      <c r="AP162" s="1" t="s">
        <v>98</v>
      </c>
      <c r="AQ162" s="68" t="s">
        <v>59</v>
      </c>
      <c r="AR162" s="40" t="s">
        <v>64</v>
      </c>
      <c r="AT162" s="39" t="s">
        <v>63</v>
      </c>
      <c r="AU162" s="20" t="s">
        <v>64</v>
      </c>
      <c r="AV162" s="20" t="s">
        <v>62</v>
      </c>
      <c r="AW162" s="9" t="s">
        <v>59</v>
      </c>
      <c r="AX162" s="19"/>
      <c r="AY162" s="44" t="s">
        <v>59</v>
      </c>
    </row>
    <row r="163" spans="20:51" ht="12.75">
      <c r="T163" s="20" t="s">
        <v>14</v>
      </c>
      <c r="U163" s="41" t="s">
        <v>12</v>
      </c>
      <c r="V163" s="29" t="s">
        <v>51</v>
      </c>
      <c r="W163" s="42" t="s">
        <v>12</v>
      </c>
      <c r="Z163" s="41" t="s">
        <v>12</v>
      </c>
      <c r="AA163" s="29" t="s">
        <v>51</v>
      </c>
      <c r="AB163" s="42" t="s">
        <v>12</v>
      </c>
      <c r="AD163" s="45" t="s">
        <v>53</v>
      </c>
      <c r="AE163" s="20"/>
      <c r="AF163" s="41" t="s">
        <v>65</v>
      </c>
      <c r="AG163" s="29" t="s">
        <v>55</v>
      </c>
      <c r="AH163" s="29" t="s">
        <v>54</v>
      </c>
      <c r="AI163" s="29" t="s">
        <v>56</v>
      </c>
      <c r="AJ163" s="29" t="s">
        <v>56</v>
      </c>
      <c r="AK163" s="42" t="s">
        <v>60</v>
      </c>
      <c r="AL163" s="20" t="s">
        <v>14</v>
      </c>
      <c r="AM163" s="45" t="s">
        <v>60</v>
      </c>
      <c r="AN163" s="1" t="s">
        <v>60</v>
      </c>
      <c r="AO163" s="1" t="s">
        <v>60</v>
      </c>
      <c r="AP163" s="1" t="s">
        <v>60</v>
      </c>
      <c r="AQ163" s="41" t="s">
        <v>60</v>
      </c>
      <c r="AR163" s="42" t="s">
        <v>55</v>
      </c>
      <c r="AT163" s="41" t="s">
        <v>65</v>
      </c>
      <c r="AU163" s="29" t="s">
        <v>55</v>
      </c>
      <c r="AV163" s="29" t="s">
        <v>54</v>
      </c>
      <c r="AW163" s="42" t="s">
        <v>60</v>
      </c>
      <c r="AX163" s="20"/>
      <c r="AY163" s="45" t="s">
        <v>60</v>
      </c>
    </row>
    <row r="164" spans="20:51" ht="12.75">
      <c r="T164" s="73">
        <v>10</v>
      </c>
      <c r="U164" s="3">
        <f>$U$7+$W$14/(1+($W$11*(T164/$U$9-$U$9/T164))^2)</f>
        <v>5.818576529889272</v>
      </c>
      <c r="V164" s="3">
        <f>(2*PI()*T164*$U$8/1000)-($W$14*$W$11*(T164/$U$9-$U$9/T164))/((1+($W$11*(T164/$U$9-$U$9/T164))^2))</f>
        <v>3.4149777476217507</v>
      </c>
      <c r="W164" s="3">
        <f>SQRT(U164^2+V164^2)</f>
        <v>6.74669592103646</v>
      </c>
      <c r="Z164" s="3">
        <f aca="true" t="shared" si="0" ref="Z164:Z191">$U$7+$AB$35/(1+($AA$18*(T164/$AA$17-$AA$17/T164))^2)</f>
        <v>5.605586581365223</v>
      </c>
      <c r="AA164" s="3">
        <f aca="true" t="shared" si="1" ref="AA164:AA191">(2*PI()*T164*$U$8/1000)-($AB$35*$AA$18*(T164/$AA$17-$AA$17/T164))/((1+($AA$18*(T164/$AA$17-$AA$17/T164))^2))</f>
        <v>0.6974059149623797</v>
      </c>
      <c r="AB164" s="3">
        <f>SQRT(Z164^2+AA164^2)</f>
        <v>5.648803052984443</v>
      </c>
      <c r="AD164" s="27">
        <f aca="true" t="shared" si="2" ref="AD164:AD191">(1000/(2*PI()*T164*$U$10))/SQRT((1+$AA$19/$AA$18)^2+($AA$19^2)*(T164/$AA$17-$AA$17/T164)^2)</f>
        <v>0.13590134467057866</v>
      </c>
      <c r="AE164" s="27"/>
      <c r="AF164" s="3">
        <f aca="true" t="shared" si="3" ref="AF164:AF191">$AH$160/AD164</f>
        <v>58.8662313782972</v>
      </c>
      <c r="AG164" s="3">
        <f>AF164/AB164</f>
        <v>10.421009694646072</v>
      </c>
      <c r="AH164" s="28">
        <f>AF164*AG164/2</f>
        <v>306.722783940257</v>
      </c>
      <c r="AI164" s="28">
        <f>4*AG164^2</f>
        <v>434.3897722236297</v>
      </c>
      <c r="AJ164" s="28">
        <f>(AF164^2)/16</f>
        <v>216.57707479270138</v>
      </c>
      <c r="AK164" s="28">
        <f aca="true" t="shared" si="4" ref="AK164:AK191">-37.6+20*LOG($AH$160*$U$18)+40*LOG(T164)</f>
        <v>70.96269588057578</v>
      </c>
      <c r="AL164" s="75">
        <f>T164</f>
        <v>10</v>
      </c>
      <c r="AM164" s="28">
        <f>-37.6+20*LOG(2.83*1.41*AD164*$U$18)+40*LOG(T164)</f>
        <v>47.585482181603176</v>
      </c>
      <c r="AN164" s="28">
        <f aca="true" t="shared" si="5" ref="AN164:AN191">$V$35+40*LOG(AL164/$V$31)-10*LOG((((AL164^2/$V$31^2)-1)^2)+(AL164/($V$31*$V$32))^2)</f>
        <v>71.02059991327963</v>
      </c>
      <c r="AO164" s="28">
        <f>AN164-AM164</f>
        <v>23.43511773167645</v>
      </c>
      <c r="AP164" s="1">
        <f aca="true" t="shared" si="6" ref="AP164:AP191">$V$35</f>
        <v>85</v>
      </c>
      <c r="AQ164" s="28">
        <f>AM164+7.95</f>
        <v>55.53548218160318</v>
      </c>
      <c r="AR164" s="3">
        <f>10/AB164</f>
        <v>1.7702865379094217</v>
      </c>
      <c r="AT164" s="3">
        <f>IF(AF164&lt;$AV$160,AF164,$AV$160)</f>
        <v>37.83427017929644</v>
      </c>
      <c r="AU164" s="3">
        <f aca="true" t="shared" si="7" ref="AU164:AU191">IF(AT164/AB164&lt;$U$40,AT164/AB164,$U$40)</f>
        <v>6.6977499170036365</v>
      </c>
      <c r="AV164" s="28">
        <f>AT164*AU164/2</f>
        <v>126.70223997663794</v>
      </c>
      <c r="AW164" s="28">
        <f>AK164+20*LOG(AU164/AG164)</f>
        <v>67.12307843543006</v>
      </c>
      <c r="AY164" s="28">
        <f aca="true" t="shared" si="8" ref="AY164:AY191">AW164+20*LOG(AL164/$AA$51)</f>
        <v>43.84941743356842</v>
      </c>
    </row>
    <row r="165" spans="20:51" ht="12.75">
      <c r="T165" s="74">
        <f>T164*2^(1/7)</f>
        <v>11.040895136738122</v>
      </c>
      <c r="U165" s="3">
        <f aca="true" t="shared" si="9" ref="U165:U191">$U$7+$W$14/(1+($W$11*(T165/$U$9-$U$9/T165))^2)</f>
        <v>5.878052210685255</v>
      </c>
      <c r="V165" s="3">
        <f aca="true" t="shared" si="10" ref="V165:V191">(2*PI()*T165*$U$8/1000)-($W$14*$W$11*(T165/$U$9-$U$9/T165))/((1+($W$11*(T165/$U$9-$U$9/T165))^2))</f>
        <v>3.844453640559998</v>
      </c>
      <c r="W165" s="3">
        <f aca="true" t="shared" si="11" ref="W165:W191">SQRT(U165^2+V165^2)</f>
        <v>7.023625957150398</v>
      </c>
      <c r="Z165" s="3">
        <f t="shared" si="0"/>
        <v>5.606855261175866</v>
      </c>
      <c r="AA165" s="3">
        <f t="shared" si="1"/>
        <v>0.7717808826464351</v>
      </c>
      <c r="AB165" s="3">
        <f aca="true" t="shared" si="12" ref="AB165:AB191">SQRT(Z165^2+AA165^2)</f>
        <v>5.659723637298379</v>
      </c>
      <c r="AD165" s="27">
        <f t="shared" si="2"/>
        <v>0.13620322381173353</v>
      </c>
      <c r="AE165" s="27"/>
      <c r="AF165" s="3">
        <f t="shared" si="3"/>
        <v>58.73576099092907</v>
      </c>
      <c r="AG165" s="3">
        <f aca="true" t="shared" si="13" ref="AG165:AG191">AF165/AB165</f>
        <v>10.37784965397464</v>
      </c>
      <c r="AH165" s="28">
        <f aca="true" t="shared" si="14" ref="AH165:AH191">AF165*AG165/2</f>
        <v>304.7754484378252</v>
      </c>
      <c r="AI165" s="28">
        <f aca="true" t="shared" si="15" ref="AI165:AI191">4*AG165^2</f>
        <v>430.79905376200617</v>
      </c>
      <c r="AJ165" s="28">
        <f aca="true" t="shared" si="16" ref="AJ165:AJ191">(AF165^2)/16</f>
        <v>215.6181011989716</v>
      </c>
      <c r="AK165" s="28">
        <f t="shared" si="4"/>
        <v>72.68286728436995</v>
      </c>
      <c r="AL165" s="75">
        <f aca="true" t="shared" si="17" ref="AL165:AL191">T165</f>
        <v>11.040895136738122</v>
      </c>
      <c r="AM165" s="28">
        <f aca="true" t="shared" si="18" ref="AM165:AM191">-37.6+20*LOG(2.83*1.41*AD165*$U$18)+40*LOG(T165)</f>
        <v>49.32492624953897</v>
      </c>
      <c r="AN165" s="28">
        <f t="shared" si="5"/>
        <v>72.36840274226304</v>
      </c>
      <c r="AO165" s="28">
        <f aca="true" t="shared" si="19" ref="AO165:AO191">AN165-AM165</f>
        <v>23.043476492724075</v>
      </c>
      <c r="AP165" s="1">
        <f t="shared" si="6"/>
        <v>85</v>
      </c>
      <c r="AQ165" s="28">
        <f aca="true" t="shared" si="20" ref="AQ165:AQ191">AM165+7.95</f>
        <v>57.27492624953897</v>
      </c>
      <c r="AR165" s="3">
        <f aca="true" t="shared" si="21" ref="AR165:AR191">10/AB165</f>
        <v>1.7668707238810366</v>
      </c>
      <c r="AT165" s="3">
        <f aca="true" t="shared" si="22" ref="AT165:AT191">IF(AF165&lt;$AV$160,AF165,$AV$160)</f>
        <v>37.83427017929644</v>
      </c>
      <c r="AU165" s="3">
        <f t="shared" si="7"/>
        <v>6.6848264339204215</v>
      </c>
      <c r="AV165" s="28">
        <f aca="true" t="shared" si="23" ref="AV165:AV191">AT165*AU165/2</f>
        <v>126.45776470132398</v>
      </c>
      <c r="AW165" s="28">
        <f aca="true" t="shared" si="24" ref="AW165:AW191">AK165+20*LOG(AU165/AG165)</f>
        <v>68.86252250336584</v>
      </c>
      <c r="AY165" s="28">
        <f t="shared" si="8"/>
        <v>46.44894720340128</v>
      </c>
    </row>
    <row r="166" spans="20:51" ht="12.75">
      <c r="T166" s="74">
        <f aca="true" t="shared" si="25" ref="T166:T191">T165*2^(1/7)</f>
        <v>12.190136542044751</v>
      </c>
      <c r="U166" s="3">
        <f t="shared" si="9"/>
        <v>5.95745368868944</v>
      </c>
      <c r="V166" s="3">
        <f t="shared" si="10"/>
        <v>4.34867361017465</v>
      </c>
      <c r="W166" s="3">
        <f t="shared" si="11"/>
        <v>7.375785830723994</v>
      </c>
      <c r="Z166" s="3">
        <f t="shared" si="0"/>
        <v>5.608424479040627</v>
      </c>
      <c r="AA166" s="3">
        <f t="shared" si="1"/>
        <v>0.8545314577102713</v>
      </c>
      <c r="AB166" s="3">
        <f t="shared" si="12"/>
        <v>5.6731516064105465</v>
      </c>
      <c r="AD166" s="27">
        <f t="shared" si="2"/>
        <v>0.13657192654354092</v>
      </c>
      <c r="AE166" s="27"/>
      <c r="AF166" s="3">
        <f t="shared" si="3"/>
        <v>58.57719227127909</v>
      </c>
      <c r="AG166" s="3">
        <f t="shared" si="13"/>
        <v>10.325335251941452</v>
      </c>
      <c r="AH166" s="28">
        <f t="shared" si="14"/>
        <v>302.4145741591952</v>
      </c>
      <c r="AI166" s="28">
        <f t="shared" si="15"/>
        <v>426.45019225993934</v>
      </c>
      <c r="AJ166" s="28">
        <f t="shared" si="16"/>
        <v>214.4554658991499</v>
      </c>
      <c r="AK166" s="28">
        <f t="shared" si="4"/>
        <v>74.40303868816412</v>
      </c>
      <c r="AL166" s="75">
        <f t="shared" si="17"/>
        <v>12.190136542044751</v>
      </c>
      <c r="AM166" s="28">
        <f t="shared" si="18"/>
        <v>51.06857862793007</v>
      </c>
      <c r="AN166" s="28">
        <f t="shared" si="5"/>
        <v>73.65523578413429</v>
      </c>
      <c r="AO166" s="28">
        <f t="shared" si="19"/>
        <v>22.586657156204218</v>
      </c>
      <c r="AP166" s="1">
        <f t="shared" si="6"/>
        <v>85</v>
      </c>
      <c r="AQ166" s="28">
        <f t="shared" si="20"/>
        <v>59.018578627930076</v>
      </c>
      <c r="AR166" s="3">
        <f t="shared" si="21"/>
        <v>1.7626886594569766</v>
      </c>
      <c r="AT166" s="3">
        <f t="shared" si="22"/>
        <v>37.83427017929644</v>
      </c>
      <c r="AU166" s="3">
        <f t="shared" si="7"/>
        <v>6.669003898387711</v>
      </c>
      <c r="AV166" s="28">
        <f t="shared" si="23"/>
        <v>126.15844765919094</v>
      </c>
      <c r="AW166" s="28">
        <f t="shared" si="24"/>
        <v>70.60617488175694</v>
      </c>
      <c r="AY166" s="28">
        <f t="shared" si="8"/>
        <v>49.05268528368948</v>
      </c>
    </row>
    <row r="167" spans="20:51" ht="12.75">
      <c r="T167" s="74">
        <f t="shared" si="25"/>
        <v>13.459001926323557</v>
      </c>
      <c r="U167" s="3">
        <f t="shared" si="9"/>
        <v>6.0657712971847735</v>
      </c>
      <c r="V167" s="3">
        <f t="shared" si="10"/>
        <v>4.949162742786043</v>
      </c>
      <c r="W167" s="3">
        <f t="shared" si="11"/>
        <v>7.8286520732711145</v>
      </c>
      <c r="Z167" s="3">
        <f t="shared" si="0"/>
        <v>5.610371702508691</v>
      </c>
      <c r="AA167" s="3">
        <f t="shared" si="1"/>
        <v>0.9467602610650033</v>
      </c>
      <c r="AB167" s="3">
        <f t="shared" si="12"/>
        <v>5.6896946870849</v>
      </c>
      <c r="AD167" s="27">
        <f t="shared" si="2"/>
        <v>0.13702241357468015</v>
      </c>
      <c r="AE167" s="27"/>
      <c r="AF167" s="3">
        <f t="shared" si="3"/>
        <v>58.384608702282335</v>
      </c>
      <c r="AG167" s="3">
        <f t="shared" si="13"/>
        <v>10.261466021157549</v>
      </c>
      <c r="AH167" s="28">
        <f t="shared" si="14"/>
        <v>299.55583917852476</v>
      </c>
      <c r="AI167" s="28">
        <f t="shared" si="15"/>
        <v>421.19073961348374</v>
      </c>
      <c r="AJ167" s="28">
        <f t="shared" si="16"/>
        <v>213.04765833241387</v>
      </c>
      <c r="AK167" s="28">
        <f t="shared" si="4"/>
        <v>76.1232100919583</v>
      </c>
      <c r="AL167" s="75">
        <f t="shared" si="17"/>
        <v>13.459001926323557</v>
      </c>
      <c r="AM167" s="28">
        <f t="shared" si="18"/>
        <v>52.81735357791078</v>
      </c>
      <c r="AN167" s="28">
        <f t="shared" si="5"/>
        <v>74.8748280919235</v>
      </c>
      <c r="AO167" s="28">
        <f t="shared" si="19"/>
        <v>22.057474514012725</v>
      </c>
      <c r="AP167" s="1">
        <f t="shared" si="6"/>
        <v>85</v>
      </c>
      <c r="AQ167" s="28">
        <f t="shared" si="20"/>
        <v>60.76735357791078</v>
      </c>
      <c r="AR167" s="3">
        <f t="shared" si="21"/>
        <v>1.7575635512919716</v>
      </c>
      <c r="AT167" s="3">
        <f t="shared" si="22"/>
        <v>37.83427017929644</v>
      </c>
      <c r="AU167" s="3">
        <f t="shared" si="7"/>
        <v>6.649613425686418</v>
      </c>
      <c r="AV167" s="28">
        <f t="shared" si="23"/>
        <v>125.79163546764845</v>
      </c>
      <c r="AW167" s="28">
        <f t="shared" si="24"/>
        <v>72.35494983173764</v>
      </c>
      <c r="AY167" s="28">
        <f t="shared" si="8"/>
        <v>51.66154593556726</v>
      </c>
    </row>
    <row r="168" spans="20:51" ht="12.75">
      <c r="T168" s="74">
        <f t="shared" si="25"/>
        <v>14.859942891369478</v>
      </c>
      <c r="U168" s="3">
        <f t="shared" si="9"/>
        <v>6.217634497392229</v>
      </c>
      <c r="V168" s="3">
        <f t="shared" si="10"/>
        <v>5.677194071273585</v>
      </c>
      <c r="W168" s="3">
        <f t="shared" si="11"/>
        <v>8.419590920351526</v>
      </c>
      <c r="Z168" s="3">
        <f t="shared" si="0"/>
        <v>5.612797558848092</v>
      </c>
      <c r="AA168" s="3">
        <f t="shared" si="1"/>
        <v>1.0497722625959582</v>
      </c>
      <c r="AB168" s="3">
        <f t="shared" si="12"/>
        <v>5.7101241877849676</v>
      </c>
      <c r="AD168" s="27">
        <f t="shared" si="2"/>
        <v>0.13757306420991489</v>
      </c>
      <c r="AE168" s="27"/>
      <c r="AF168" s="3">
        <f t="shared" si="3"/>
        <v>58.150918175328684</v>
      </c>
      <c r="AG168" s="3">
        <f t="shared" si="13"/>
        <v>10.183827227387535</v>
      </c>
      <c r="AH168" s="28">
        <f t="shared" si="14"/>
        <v>296.0994519057485</v>
      </c>
      <c r="AI168" s="28">
        <f t="shared" si="15"/>
        <v>414.8413479891188</v>
      </c>
      <c r="AJ168" s="28">
        <f t="shared" si="16"/>
        <v>211.34558028961075</v>
      </c>
      <c r="AK168" s="28">
        <f t="shared" si="4"/>
        <v>77.84338149575248</v>
      </c>
      <c r="AL168" s="75">
        <f t="shared" si="17"/>
        <v>14.859942891369478</v>
      </c>
      <c r="AM168" s="28">
        <f t="shared" si="18"/>
        <v>54.57236093090932</v>
      </c>
      <c r="AN168" s="28">
        <f t="shared" si="5"/>
        <v>76.0214009686402</v>
      </c>
      <c r="AO168" s="28">
        <f t="shared" si="19"/>
        <v>21.449040037730875</v>
      </c>
      <c r="AP168" s="1">
        <f t="shared" si="6"/>
        <v>85</v>
      </c>
      <c r="AQ168" s="28">
        <f t="shared" si="20"/>
        <v>62.52236093090932</v>
      </c>
      <c r="AR168" s="3">
        <f t="shared" si="21"/>
        <v>1.7512753963200811</v>
      </c>
      <c r="AT168" s="3">
        <f t="shared" si="22"/>
        <v>37.83427017929644</v>
      </c>
      <c r="AU168" s="3">
        <f t="shared" si="7"/>
        <v>6.6258226502728395</v>
      </c>
      <c r="AV168" s="28">
        <f t="shared" si="23"/>
        <v>125.3415821552623</v>
      </c>
      <c r="AW168" s="28">
        <f t="shared" si="24"/>
        <v>74.1099571847362</v>
      </c>
      <c r="AY168" s="28">
        <f t="shared" si="8"/>
        <v>54.276638990462914</v>
      </c>
    </row>
    <row r="169" spans="20:51" ht="12.75">
      <c r="T169" s="74">
        <f t="shared" si="25"/>
        <v>16.40670712015275</v>
      </c>
      <c r="U169" s="3">
        <f t="shared" si="9"/>
        <v>6.438148952981315</v>
      </c>
      <c r="V169" s="3">
        <f t="shared" si="10"/>
        <v>6.579923215067187</v>
      </c>
      <c r="W169" s="3">
        <f t="shared" si="11"/>
        <v>9.205712979283817</v>
      </c>
      <c r="Z169" s="3">
        <f t="shared" si="0"/>
        <v>5.6158343857295066</v>
      </c>
      <c r="AA169" s="3">
        <f t="shared" si="1"/>
        <v>1.165131473240435</v>
      </c>
      <c r="AB169" s="3">
        <f t="shared" si="12"/>
        <v>5.7354273770903355</v>
      </c>
      <c r="AD169" s="27">
        <f t="shared" si="2"/>
        <v>0.13824647965555328</v>
      </c>
      <c r="AE169" s="27"/>
      <c r="AF169" s="3">
        <f t="shared" si="3"/>
        <v>57.867657968089496</v>
      </c>
      <c r="AG169" s="3">
        <f t="shared" si="13"/>
        <v>10.089511062285752</v>
      </c>
      <c r="AH169" s="28">
        <f t="shared" si="14"/>
        <v>291.92818760880357</v>
      </c>
      <c r="AI169" s="28">
        <f t="shared" si="15"/>
        <v>407.1929339039462</v>
      </c>
      <c r="AJ169" s="28">
        <f t="shared" si="16"/>
        <v>209.291614919487</v>
      </c>
      <c r="AK169" s="28">
        <f t="shared" si="4"/>
        <v>79.56355289954665</v>
      </c>
      <c r="AL169" s="75">
        <f t="shared" si="17"/>
        <v>16.40670712015275</v>
      </c>
      <c r="AM169" s="28">
        <f t="shared" si="18"/>
        <v>56.33494574589078</v>
      </c>
      <c r="AN169" s="28">
        <f t="shared" si="5"/>
        <v>77.0899974672194</v>
      </c>
      <c r="AO169" s="28">
        <f t="shared" si="19"/>
        <v>20.755051721328627</v>
      </c>
      <c r="AP169" s="1">
        <f t="shared" si="6"/>
        <v>85</v>
      </c>
      <c r="AQ169" s="28">
        <f t="shared" si="20"/>
        <v>64.28494574589078</v>
      </c>
      <c r="AR169" s="3">
        <f t="shared" si="21"/>
        <v>1.7435492322584587</v>
      </c>
      <c r="AT169" s="3">
        <f t="shared" si="22"/>
        <v>37.83427017929644</v>
      </c>
      <c r="AU169" s="3">
        <f t="shared" si="7"/>
        <v>6.5965912724171405</v>
      </c>
      <c r="AV169" s="28">
        <f t="shared" si="23"/>
        <v>124.78860823150949</v>
      </c>
      <c r="AW169" s="28">
        <f t="shared" si="24"/>
        <v>75.87254199971765</v>
      </c>
      <c r="AY169" s="28">
        <f t="shared" si="8"/>
        <v>56.89930950734146</v>
      </c>
    </row>
    <row r="170" spans="20:51" ht="12.75">
      <c r="T170" s="74">
        <f t="shared" si="25"/>
        <v>18.11447328527812</v>
      </c>
      <c r="U170" s="3">
        <f t="shared" si="9"/>
        <v>6.773310733734664</v>
      </c>
      <c r="V170" s="3">
        <f t="shared" si="10"/>
        <v>7.731563295242499</v>
      </c>
      <c r="W170" s="3">
        <f t="shared" si="11"/>
        <v>10.27885252759598</v>
      </c>
      <c r="Z170" s="3">
        <f t="shared" si="0"/>
        <v>5.619658771788316</v>
      </c>
      <c r="AA170" s="3">
        <f t="shared" si="1"/>
        <v>1.2947396866743084</v>
      </c>
      <c r="AB170" s="3">
        <f t="shared" si="12"/>
        <v>5.766880921918438</v>
      </c>
      <c r="AD170" s="27">
        <f t="shared" si="2"/>
        <v>0.13907047542902345</v>
      </c>
      <c r="AE170" s="27"/>
      <c r="AF170" s="3">
        <f t="shared" si="3"/>
        <v>57.524790760371786</v>
      </c>
      <c r="AG170" s="3">
        <f t="shared" si="13"/>
        <v>9.975026628646827</v>
      </c>
      <c r="AH170" s="28">
        <f t="shared" si="14"/>
        <v>286.90565982102277</v>
      </c>
      <c r="AI170" s="28">
        <f t="shared" si="15"/>
        <v>398.00462496885314</v>
      </c>
      <c r="AJ170" s="28">
        <f t="shared" si="16"/>
        <v>206.8188470015347</v>
      </c>
      <c r="AK170" s="28">
        <f t="shared" si="4"/>
        <v>81.28372430334082</v>
      </c>
      <c r="AL170" s="75">
        <f t="shared" si="17"/>
        <v>18.11447328527812</v>
      </c>
      <c r="AM170" s="28">
        <f t="shared" si="18"/>
        <v>58.106734313960224</v>
      </c>
      <c r="AN170" s="28">
        <f t="shared" si="5"/>
        <v>78.07680050851516</v>
      </c>
      <c r="AO170" s="28">
        <f t="shared" si="19"/>
        <v>19.97006619455494</v>
      </c>
      <c r="AP170" s="1">
        <f t="shared" si="6"/>
        <v>85</v>
      </c>
      <c r="AQ170" s="28">
        <f t="shared" si="20"/>
        <v>66.05673431396022</v>
      </c>
      <c r="AR170" s="3">
        <f t="shared" si="21"/>
        <v>1.734039619578854</v>
      </c>
      <c r="AT170" s="3">
        <f t="shared" si="22"/>
        <v>37.83427017929644</v>
      </c>
      <c r="AU170" s="3">
        <f t="shared" si="7"/>
        <v>6.560612346875078</v>
      </c>
      <c r="AV170" s="28">
        <f t="shared" si="23"/>
        <v>124.1079900366499</v>
      </c>
      <c r="AW170" s="28">
        <f t="shared" si="24"/>
        <v>77.6443305677871</v>
      </c>
      <c r="AY170" s="28">
        <f t="shared" si="8"/>
        <v>59.53118377730798</v>
      </c>
    </row>
    <row r="171" spans="20:51" ht="12.75">
      <c r="T171" s="74">
        <f t="shared" si="25"/>
        <v>19.999999999999982</v>
      </c>
      <c r="U171" s="3">
        <f t="shared" si="9"/>
        <v>7.314615470746316</v>
      </c>
      <c r="V171" s="3">
        <f t="shared" si="10"/>
        <v>9.254702568523596</v>
      </c>
      <c r="W171" s="3">
        <f t="shared" si="11"/>
        <v>11.796318032196258</v>
      </c>
      <c r="Z171" s="3">
        <f t="shared" si="0"/>
        <v>5.624510398907098</v>
      </c>
      <c r="AA171" s="3">
        <f t="shared" si="1"/>
        <v>1.4409480508971182</v>
      </c>
      <c r="AB171" s="3">
        <f t="shared" si="12"/>
        <v>5.806156087533153</v>
      </c>
      <c r="AD171" s="27">
        <f t="shared" si="2"/>
        <v>0.14007929772512434</v>
      </c>
      <c r="AE171" s="27"/>
      <c r="AF171" s="3">
        <f t="shared" si="3"/>
        <v>57.11050904679926</v>
      </c>
      <c r="AG171" s="3">
        <f t="shared" si="13"/>
        <v>9.836199403840633</v>
      </c>
      <c r="AH171" s="28">
        <f t="shared" si="14"/>
        <v>280.875177519581</v>
      </c>
      <c r="AI171" s="28">
        <f t="shared" si="15"/>
        <v>387.0032748484593</v>
      </c>
      <c r="AJ171" s="28">
        <f t="shared" si="16"/>
        <v>203.85064022403375</v>
      </c>
      <c r="AK171" s="28">
        <f t="shared" si="4"/>
        <v>83.003895707135</v>
      </c>
      <c r="AL171" s="75">
        <f t="shared" si="17"/>
        <v>19.999999999999982</v>
      </c>
      <c r="AM171" s="28">
        <f t="shared" si="18"/>
        <v>59.88968604658526</v>
      </c>
      <c r="AN171" s="28">
        <f t="shared" si="5"/>
        <v>78.97940008672037</v>
      </c>
      <c r="AO171" s="28">
        <f t="shared" si="19"/>
        <v>19.089714040135114</v>
      </c>
      <c r="AP171" s="1">
        <f t="shared" si="6"/>
        <v>85</v>
      </c>
      <c r="AQ171" s="28">
        <f t="shared" si="20"/>
        <v>67.83968604658526</v>
      </c>
      <c r="AR171" s="3">
        <f t="shared" si="21"/>
        <v>1.722309880967853</v>
      </c>
      <c r="AT171" s="3">
        <f t="shared" si="22"/>
        <v>37.83427017929644</v>
      </c>
      <c r="AU171" s="3">
        <f t="shared" si="7"/>
        <v>6.516233736900964</v>
      </c>
      <c r="AV171" s="28">
        <f t="shared" si="23"/>
        <v>123.26847387667877</v>
      </c>
      <c r="AW171" s="28">
        <f t="shared" si="24"/>
        <v>79.42728230041213</v>
      </c>
      <c r="AY171" s="28">
        <f t="shared" si="8"/>
        <v>62.1742212118301</v>
      </c>
    </row>
    <row r="172" spans="20:51" ht="12.75">
      <c r="T172" s="74">
        <f t="shared" si="25"/>
        <v>22.081790273476226</v>
      </c>
      <c r="U172" s="3">
        <f t="shared" si="9"/>
        <v>8.264437069912303</v>
      </c>
      <c r="V172" s="3">
        <f t="shared" si="10"/>
        <v>11.36218575842274</v>
      </c>
      <c r="W172" s="3">
        <f t="shared" si="11"/>
        <v>14.0499176257886</v>
      </c>
      <c r="Z172" s="3">
        <f t="shared" si="0"/>
        <v>5.630721123744311</v>
      </c>
      <c r="AA172" s="3">
        <f t="shared" si="1"/>
        <v>1.6067186843226786</v>
      </c>
      <c r="AB172" s="3">
        <f t="shared" si="12"/>
        <v>5.85547310675508</v>
      </c>
      <c r="AD172" s="27">
        <f t="shared" si="2"/>
        <v>0.14131508974274237</v>
      </c>
      <c r="AE172" s="27"/>
      <c r="AF172" s="3">
        <f t="shared" si="3"/>
        <v>56.6110810569744</v>
      </c>
      <c r="AG172" s="3">
        <f t="shared" si="13"/>
        <v>9.6680626867991</v>
      </c>
      <c r="AH172" s="28">
        <f t="shared" si="14"/>
        <v>273.6597402131468</v>
      </c>
      <c r="AI172" s="28">
        <f t="shared" si="15"/>
        <v>373.88574446350816</v>
      </c>
      <c r="AJ172" s="28">
        <f t="shared" si="16"/>
        <v>200.30090615245786</v>
      </c>
      <c r="AK172" s="28">
        <f t="shared" si="4"/>
        <v>84.72406711092918</v>
      </c>
      <c r="AL172" s="75">
        <f t="shared" si="17"/>
        <v>22.081790273476226</v>
      </c>
      <c r="AM172" s="28">
        <f t="shared" si="18"/>
        <v>61.68614910769248</v>
      </c>
      <c r="AN172" s="28">
        <f t="shared" si="5"/>
        <v>79.79697191230936</v>
      </c>
      <c r="AO172" s="28">
        <f t="shared" si="19"/>
        <v>18.11082280461688</v>
      </c>
      <c r="AP172" s="1">
        <f t="shared" si="6"/>
        <v>85</v>
      </c>
      <c r="AQ172" s="28">
        <f t="shared" si="20"/>
        <v>69.63614910769248</v>
      </c>
      <c r="AR172" s="3">
        <f t="shared" si="21"/>
        <v>1.7078039327793424</v>
      </c>
      <c r="AT172" s="3">
        <f t="shared" si="22"/>
        <v>37.83427017929644</v>
      </c>
      <c r="AU172" s="3">
        <f t="shared" si="7"/>
        <v>6.461351540603865</v>
      </c>
      <c r="AV172" s="28">
        <f t="shared" si="23"/>
        <v>122.23025995530996</v>
      </c>
      <c r="AW172" s="28">
        <f t="shared" si="24"/>
        <v>81.22374536151936</v>
      </c>
      <c r="AY172" s="28">
        <f t="shared" si="8"/>
        <v>64.83076997483442</v>
      </c>
    </row>
    <row r="173" spans="20:51" ht="12.75">
      <c r="T173" s="74">
        <f t="shared" si="25"/>
        <v>24.380273084089485</v>
      </c>
      <c r="U173" s="3">
        <f t="shared" si="9"/>
        <v>10.137490119988692</v>
      </c>
      <c r="V173" s="3">
        <f t="shared" si="10"/>
        <v>14.43365780294518</v>
      </c>
      <c r="W173" s="3">
        <f t="shared" si="11"/>
        <v>17.638003954682304</v>
      </c>
      <c r="Z173" s="3">
        <f t="shared" si="0"/>
        <v>5.638761234977562</v>
      </c>
      <c r="AA173" s="3">
        <f t="shared" si="1"/>
        <v>1.7958646520788315</v>
      </c>
      <c r="AB173" s="3">
        <f t="shared" si="12"/>
        <v>5.917833903859749</v>
      </c>
      <c r="AD173" s="27">
        <f t="shared" si="2"/>
        <v>0.14282960070401854</v>
      </c>
      <c r="AE173" s="27"/>
      <c r="AF173" s="3">
        <f t="shared" si="3"/>
        <v>56.01079860594274</v>
      </c>
      <c r="AG173" s="3">
        <f t="shared" si="13"/>
        <v>9.464746648163139</v>
      </c>
      <c r="AH173" s="28">
        <f t="shared" si="14"/>
        <v>265.0640091832686</v>
      </c>
      <c r="AI173" s="28">
        <f t="shared" si="15"/>
        <v>358.3257164556615</v>
      </c>
      <c r="AJ173" s="28">
        <f t="shared" si="16"/>
        <v>196.07559752971733</v>
      </c>
      <c r="AK173" s="28">
        <f t="shared" si="4"/>
        <v>86.44423851472337</v>
      </c>
      <c r="AL173" s="75">
        <f t="shared" si="17"/>
        <v>24.380273084089485</v>
      </c>
      <c r="AM173" s="28">
        <f t="shared" si="18"/>
        <v>63.498914180027974</v>
      </c>
      <c r="AN173" s="28">
        <f t="shared" si="5"/>
        <v>80.53034027480776</v>
      </c>
      <c r="AO173" s="28">
        <f t="shared" si="19"/>
        <v>17.031426094779782</v>
      </c>
      <c r="AP173" s="1">
        <f t="shared" si="6"/>
        <v>85</v>
      </c>
      <c r="AQ173" s="28">
        <f t="shared" si="20"/>
        <v>71.44891418002797</v>
      </c>
      <c r="AR173" s="3">
        <f t="shared" si="21"/>
        <v>1.6898074806522987</v>
      </c>
      <c r="AT173" s="3">
        <f t="shared" si="22"/>
        <v>37.83427017929644</v>
      </c>
      <c r="AU173" s="3">
        <f t="shared" si="7"/>
        <v>6.393263277399531</v>
      </c>
      <c r="AV173" s="28">
        <f t="shared" si="23"/>
        <v>120.94222508225404</v>
      </c>
      <c r="AW173" s="28">
        <f t="shared" si="24"/>
        <v>83.03651043385486</v>
      </c>
      <c r="AY173" s="28">
        <f t="shared" si="8"/>
        <v>67.50362074906701</v>
      </c>
    </row>
    <row r="174" spans="20:51" ht="12.75">
      <c r="T174" s="74">
        <f t="shared" si="25"/>
        <v>26.918003852647093</v>
      </c>
      <c r="U174" s="3">
        <f t="shared" si="9"/>
        <v>14.501393342833953</v>
      </c>
      <c r="V174" s="3">
        <f t="shared" si="10"/>
        <v>19.043806652934947</v>
      </c>
      <c r="W174" s="3">
        <f t="shared" si="11"/>
        <v>23.936519812160626</v>
      </c>
      <c r="Z174" s="3">
        <f t="shared" si="0"/>
        <v>5.649315585711513</v>
      </c>
      <c r="AA174" s="3">
        <f t="shared" si="1"/>
        <v>2.013416478811583</v>
      </c>
      <c r="AB174" s="3">
        <f t="shared" si="12"/>
        <v>5.997383804969718</v>
      </c>
      <c r="AD174" s="27">
        <f t="shared" si="2"/>
        <v>0.1446860395916275</v>
      </c>
      <c r="AE174" s="27"/>
      <c r="AF174" s="3">
        <f t="shared" si="3"/>
        <v>55.29213476697397</v>
      </c>
      <c r="AG174" s="3">
        <f t="shared" si="13"/>
        <v>9.219375741995414</v>
      </c>
      <c r="AH174" s="28">
        <f t="shared" si="14"/>
        <v>254.87948299689054</v>
      </c>
      <c r="AI174" s="28">
        <f t="shared" si="15"/>
        <v>339.987556288374</v>
      </c>
      <c r="AJ174" s="28">
        <f t="shared" si="16"/>
        <v>191.07626044307574</v>
      </c>
      <c r="AK174" s="28">
        <f t="shared" si="4"/>
        <v>88.16440991851753</v>
      </c>
      <c r="AL174" s="75">
        <f t="shared" si="17"/>
        <v>26.918003852647093</v>
      </c>
      <c r="AM174" s="28">
        <f t="shared" si="18"/>
        <v>65.33125372445785</v>
      </c>
      <c r="AN174" s="28">
        <f t="shared" si="5"/>
        <v>81.18191518002274</v>
      </c>
      <c r="AO174" s="28">
        <f t="shared" si="19"/>
        <v>15.85066145556489</v>
      </c>
      <c r="AP174" s="1">
        <f t="shared" si="6"/>
        <v>85</v>
      </c>
      <c r="AQ174" s="28">
        <f t="shared" si="20"/>
        <v>73.28125372445786</v>
      </c>
      <c r="AR174" s="3">
        <f t="shared" si="21"/>
        <v>1.6673937045205485</v>
      </c>
      <c r="AT174" s="3">
        <f t="shared" si="22"/>
        <v>37.83427017929644</v>
      </c>
      <c r="AU174" s="3">
        <f t="shared" si="7"/>
        <v>6.30846239120884</v>
      </c>
      <c r="AV174" s="28">
        <f t="shared" si="23"/>
        <v>119.33803526246287</v>
      </c>
      <c r="AW174" s="28">
        <f t="shared" si="24"/>
        <v>84.86884997828473</v>
      </c>
      <c r="AY174" s="28">
        <f t="shared" si="8"/>
        <v>70.19604599539397</v>
      </c>
    </row>
    <row r="175" spans="20:51" ht="12.75">
      <c r="T175" s="74">
        <f t="shared" si="25"/>
        <v>29.719885782738935</v>
      </c>
      <c r="U175" s="3">
        <f t="shared" si="9"/>
        <v>26.9084262445486</v>
      </c>
      <c r="V175" s="3">
        <f t="shared" si="10"/>
        <v>24.145906856642874</v>
      </c>
      <c r="W175" s="3">
        <f t="shared" si="11"/>
        <v>36.15367506752232</v>
      </c>
      <c r="Z175" s="3">
        <f t="shared" si="0"/>
        <v>5.66341390824385</v>
      </c>
      <c r="AA175" s="3">
        <f t="shared" si="1"/>
        <v>2.2662004077642806</v>
      </c>
      <c r="AB175" s="3">
        <f t="shared" si="12"/>
        <v>6.099993556081913</v>
      </c>
      <c r="AD175" s="27">
        <f t="shared" si="2"/>
        <v>0.14696075346141507</v>
      </c>
      <c r="AE175" s="27"/>
      <c r="AF175" s="3">
        <f t="shared" si="3"/>
        <v>54.436302288695195</v>
      </c>
      <c r="AG175" s="3">
        <f t="shared" si="13"/>
        <v>8.923993408881595</v>
      </c>
      <c r="AH175" s="28">
        <f t="shared" si="14"/>
        <v>242.894601414101</v>
      </c>
      <c r="AI175" s="28">
        <f t="shared" si="15"/>
        <v>318.5506334470486</v>
      </c>
      <c r="AJ175" s="28">
        <f t="shared" si="16"/>
        <v>185.2069379291376</v>
      </c>
      <c r="AK175" s="28">
        <f t="shared" si="4"/>
        <v>89.8845813223117</v>
      </c>
      <c r="AL175" s="75">
        <f t="shared" si="17"/>
        <v>29.719885782738935</v>
      </c>
      <c r="AM175" s="28">
        <f t="shared" si="18"/>
        <v>67.18691994431524</v>
      </c>
      <c r="AN175" s="28">
        <f t="shared" si="5"/>
        <v>81.75551370710022</v>
      </c>
      <c r="AO175" s="28">
        <f t="shared" si="19"/>
        <v>14.568593762784985</v>
      </c>
      <c r="AP175" s="1">
        <f t="shared" si="6"/>
        <v>85</v>
      </c>
      <c r="AQ175" s="28">
        <f t="shared" si="20"/>
        <v>75.13691994431524</v>
      </c>
      <c r="AR175" s="3">
        <f t="shared" si="21"/>
        <v>1.6393459940674264</v>
      </c>
      <c r="AT175" s="3">
        <f t="shared" si="22"/>
        <v>37.83427017929644</v>
      </c>
      <c r="AU175" s="3">
        <f t="shared" si="7"/>
        <v>6.202345925689431</v>
      </c>
      <c r="AV175" s="28">
        <f t="shared" si="23"/>
        <v>117.33061574899621</v>
      </c>
      <c r="AW175" s="28">
        <f t="shared" si="24"/>
        <v>86.72451619814211</v>
      </c>
      <c r="AY175" s="28">
        <f t="shared" si="8"/>
        <v>72.91179791714845</v>
      </c>
    </row>
    <row r="176" spans="20:51" ht="12.75">
      <c r="T176" s="74">
        <f t="shared" si="25"/>
        <v>32.81341424030548</v>
      </c>
      <c r="U176" s="3">
        <f t="shared" si="9"/>
        <v>51.948359853088846</v>
      </c>
      <c r="V176" s="3">
        <f t="shared" si="10"/>
        <v>7.289879269137499</v>
      </c>
      <c r="W176" s="3">
        <f t="shared" si="11"/>
        <v>52.45735821774305</v>
      </c>
      <c r="Z176" s="3">
        <f t="shared" si="0"/>
        <v>5.68266431229321</v>
      </c>
      <c r="AA176" s="3">
        <f t="shared" si="1"/>
        <v>2.563786043819867</v>
      </c>
      <c r="AB176" s="3">
        <f t="shared" si="12"/>
        <v>6.234233919632499</v>
      </c>
      <c r="AD176" s="27">
        <f t="shared" si="2"/>
        <v>0.1497438908162295</v>
      </c>
      <c r="AE176" s="27"/>
      <c r="AF176" s="3">
        <f t="shared" si="3"/>
        <v>53.424550119496075</v>
      </c>
      <c r="AG176" s="3">
        <f t="shared" si="13"/>
        <v>8.569545321559797</v>
      </c>
      <c r="AH176" s="28">
        <f t="shared" si="14"/>
        <v>228.91205176648225</v>
      </c>
      <c r="AI176" s="28">
        <f t="shared" si="15"/>
        <v>293.74842807306965</v>
      </c>
      <c r="AJ176" s="28">
        <f t="shared" si="16"/>
        <v>178.38640971690927</v>
      </c>
      <c r="AK176" s="28">
        <f t="shared" si="4"/>
        <v>91.60475272610589</v>
      </c>
      <c r="AL176" s="75">
        <f t="shared" si="17"/>
        <v>32.81341424030548</v>
      </c>
      <c r="AM176" s="28">
        <f t="shared" si="18"/>
        <v>69.0700462153049</v>
      </c>
      <c r="AN176" s="28">
        <f t="shared" si="5"/>
        <v>82.25609280310519</v>
      </c>
      <c r="AO176" s="28">
        <f t="shared" si="19"/>
        <v>13.186046587800291</v>
      </c>
      <c r="AP176" s="1">
        <f t="shared" si="6"/>
        <v>85</v>
      </c>
      <c r="AQ176" s="28">
        <f t="shared" si="20"/>
        <v>77.0200462153049</v>
      </c>
      <c r="AR176" s="3">
        <f t="shared" si="21"/>
        <v>1.6040463237204756</v>
      </c>
      <c r="AT176" s="3">
        <f t="shared" si="22"/>
        <v>37.83427017929644</v>
      </c>
      <c r="AU176" s="3">
        <f t="shared" si="7"/>
        <v>6.068792199174767</v>
      </c>
      <c r="AV176" s="28">
        <f t="shared" si="23"/>
        <v>114.80416186279237</v>
      </c>
      <c r="AW176" s="28">
        <f t="shared" si="24"/>
        <v>88.60764246913178</v>
      </c>
      <c r="AY176" s="28">
        <f t="shared" si="8"/>
        <v>75.65500989003519</v>
      </c>
    </row>
    <row r="177" spans="20:51" ht="12.75">
      <c r="T177" s="74">
        <f t="shared" si="25"/>
        <v>36.22894657055622</v>
      </c>
      <c r="U177" s="3">
        <f t="shared" si="9"/>
        <v>33.94295117082914</v>
      </c>
      <c r="V177" s="3">
        <f t="shared" si="10"/>
        <v>-22.422956561111206</v>
      </c>
      <c r="W177" s="3">
        <f t="shared" si="11"/>
        <v>40.6806208793176</v>
      </c>
      <c r="Z177" s="3">
        <f t="shared" si="0"/>
        <v>5.709694993147545</v>
      </c>
      <c r="AA177" s="3">
        <f t="shared" si="1"/>
        <v>2.9201107686972385</v>
      </c>
      <c r="AB177" s="3">
        <f t="shared" si="12"/>
        <v>6.413085358564606</v>
      </c>
      <c r="AD177" s="27">
        <f t="shared" si="2"/>
        <v>0.1531370245798483</v>
      </c>
      <c r="AE177" s="27"/>
      <c r="AF177" s="3">
        <f t="shared" si="3"/>
        <v>52.24079560086177</v>
      </c>
      <c r="AG177" s="3">
        <f t="shared" si="13"/>
        <v>8.145969167725914</v>
      </c>
      <c r="AH177" s="28">
        <f t="shared" si="14"/>
        <v>212.77595513104578</v>
      </c>
      <c r="AI177" s="28">
        <f t="shared" si="15"/>
        <v>265.4272547261649</v>
      </c>
      <c r="AJ177" s="28">
        <f t="shared" si="16"/>
        <v>170.56879531318867</v>
      </c>
      <c r="AK177" s="28">
        <f t="shared" si="4"/>
        <v>93.32492412990007</v>
      </c>
      <c r="AL177" s="75">
        <f t="shared" si="17"/>
        <v>36.22894657055622</v>
      </c>
      <c r="AM177" s="28">
        <f t="shared" si="18"/>
        <v>70.98483944544525</v>
      </c>
      <c r="AN177" s="28">
        <f t="shared" si="5"/>
        <v>82.6894311650281</v>
      </c>
      <c r="AO177" s="28">
        <f t="shared" si="19"/>
        <v>11.70459171958285</v>
      </c>
      <c r="AP177" s="1">
        <f t="shared" si="6"/>
        <v>85</v>
      </c>
      <c r="AQ177" s="28">
        <f t="shared" si="20"/>
        <v>78.93483944544525</v>
      </c>
      <c r="AR177" s="3">
        <f t="shared" si="21"/>
        <v>1.559311850830912</v>
      </c>
      <c r="AT177" s="3">
        <f t="shared" si="22"/>
        <v>37.83427017929644</v>
      </c>
      <c r="AU177" s="3">
        <f t="shared" si="7"/>
        <v>5.8995425858115516</v>
      </c>
      <c r="AV177" s="28">
        <f t="shared" si="23"/>
        <v>111.60244406292969</v>
      </c>
      <c r="AW177" s="28">
        <f t="shared" si="24"/>
        <v>90.52243569927212</v>
      </c>
      <c r="AY177" s="28">
        <f t="shared" si="8"/>
        <v>78.42988882207263</v>
      </c>
    </row>
    <row r="178" spans="20:51" ht="12.75">
      <c r="T178" s="74">
        <f t="shared" si="25"/>
        <v>39.99999999999994</v>
      </c>
      <c r="U178" s="3">
        <f t="shared" si="9"/>
        <v>16.888167470566167</v>
      </c>
      <c r="V178" s="3">
        <f t="shared" si="10"/>
        <v>-19.330108045115175</v>
      </c>
      <c r="W178" s="3">
        <f t="shared" si="11"/>
        <v>25.668332192600975</v>
      </c>
      <c r="Z178" s="3">
        <f t="shared" si="0"/>
        <v>5.749046457903318</v>
      </c>
      <c r="AA178" s="3">
        <f t="shared" si="1"/>
        <v>3.3564189907718474</v>
      </c>
      <c r="AB178" s="3">
        <f t="shared" si="12"/>
        <v>6.6571077516249195</v>
      </c>
      <c r="AD178" s="27">
        <f t="shared" si="2"/>
        <v>0.15724304816136367</v>
      </c>
      <c r="AE178" s="27"/>
      <c r="AF178" s="3">
        <f t="shared" si="3"/>
        <v>50.87665301292275</v>
      </c>
      <c r="AG178" s="3">
        <f t="shared" si="13"/>
        <v>7.642455990066313</v>
      </c>
      <c r="AH178" s="28">
        <f t="shared" si="14"/>
        <v>194.41129078656843</v>
      </c>
      <c r="AI178" s="28">
        <f t="shared" si="15"/>
        <v>233.6285342404019</v>
      </c>
      <c r="AJ178" s="28">
        <f t="shared" si="16"/>
        <v>161.77711386233386</v>
      </c>
      <c r="AK178" s="28">
        <f t="shared" si="4"/>
        <v>95.04509553369425</v>
      </c>
      <c r="AL178" s="75">
        <f t="shared" si="17"/>
        <v>39.99999999999994</v>
      </c>
      <c r="AM178" s="28">
        <f t="shared" si="18"/>
        <v>72.93483583828174</v>
      </c>
      <c r="AN178" s="28">
        <f t="shared" si="5"/>
        <v>83.06179973983886</v>
      </c>
      <c r="AO178" s="28">
        <f t="shared" si="19"/>
        <v>10.126963901557119</v>
      </c>
      <c r="AP178" s="1">
        <f t="shared" si="6"/>
        <v>85</v>
      </c>
      <c r="AQ178" s="28">
        <f t="shared" si="20"/>
        <v>80.88483583828175</v>
      </c>
      <c r="AR178" s="3">
        <f t="shared" si="21"/>
        <v>1.5021538441463744</v>
      </c>
      <c r="AT178" s="3">
        <f t="shared" si="22"/>
        <v>37.83427017929644</v>
      </c>
      <c r="AU178" s="3">
        <f t="shared" si="7"/>
        <v>5.683289439030268</v>
      </c>
      <c r="AV178" s="28">
        <f t="shared" si="23"/>
        <v>107.51155407170664</v>
      </c>
      <c r="AW178" s="28">
        <f t="shared" si="24"/>
        <v>92.47243209210863</v>
      </c>
      <c r="AY178" s="28">
        <f t="shared" si="8"/>
        <v>81.23997091680623</v>
      </c>
    </row>
    <row r="179" spans="20:51" ht="12.75">
      <c r="T179" s="74">
        <f t="shared" si="25"/>
        <v>44.163580546952424</v>
      </c>
      <c r="U179" s="3">
        <f t="shared" si="9"/>
        <v>11.046864143333426</v>
      </c>
      <c r="V179" s="3">
        <f t="shared" si="10"/>
        <v>-14.181270489642321</v>
      </c>
      <c r="W179" s="3">
        <f t="shared" si="11"/>
        <v>17.97614085674859</v>
      </c>
      <c r="Z179" s="3">
        <f t="shared" si="0"/>
        <v>5.809126092252816</v>
      </c>
      <c r="AA179" s="3">
        <f t="shared" si="1"/>
        <v>3.90694460199994</v>
      </c>
      <c r="AB179" s="3">
        <f t="shared" si="12"/>
        <v>7.000725825140486</v>
      </c>
      <c r="AD179" s="27">
        <f t="shared" si="2"/>
        <v>0.16213784438298978</v>
      </c>
      <c r="AE179" s="27"/>
      <c r="AF179" s="3">
        <f t="shared" si="3"/>
        <v>49.34073245172178</v>
      </c>
      <c r="AG179" s="3">
        <f t="shared" si="13"/>
        <v>7.047945267979644</v>
      </c>
      <c r="AH179" s="28">
        <f t="shared" si="14"/>
        <v>173.8753909008811</v>
      </c>
      <c r="AI179" s="28">
        <f t="shared" si="15"/>
        <v>198.69413000174663</v>
      </c>
      <c r="AJ179" s="28">
        <f t="shared" si="16"/>
        <v>152.1567424295244</v>
      </c>
      <c r="AK179" s="28">
        <f t="shared" si="4"/>
        <v>96.76526693748843</v>
      </c>
      <c r="AL179" s="75">
        <f t="shared" si="17"/>
        <v>44.163580546952424</v>
      </c>
      <c r="AM179" s="28">
        <f t="shared" si="18"/>
        <v>74.92126605703466</v>
      </c>
      <c r="AN179" s="28">
        <f t="shared" si="5"/>
        <v>83.37965475391009</v>
      </c>
      <c r="AO179" s="28">
        <f t="shared" si="19"/>
        <v>8.458388696875431</v>
      </c>
      <c r="AP179" s="1">
        <f t="shared" si="6"/>
        <v>85</v>
      </c>
      <c r="AQ179" s="28">
        <f t="shared" si="20"/>
        <v>82.87126605703466</v>
      </c>
      <c r="AR179" s="3">
        <f t="shared" si="21"/>
        <v>1.4284233163493911</v>
      </c>
      <c r="AT179" s="3">
        <f t="shared" si="22"/>
        <v>37.83427017929644</v>
      </c>
      <c r="AU179" s="3">
        <f t="shared" si="7"/>
        <v>5.404335368116949</v>
      </c>
      <c r="AV179" s="28">
        <f t="shared" si="23"/>
        <v>102.23454222843206</v>
      </c>
      <c r="AW179" s="28">
        <f t="shared" si="24"/>
        <v>94.45886231086155</v>
      </c>
      <c r="AY179" s="28">
        <f t="shared" si="8"/>
        <v>84.08648683745623</v>
      </c>
    </row>
    <row r="180" spans="20:51" ht="12.75">
      <c r="T180" s="74">
        <f t="shared" si="25"/>
        <v>48.76054616817894</v>
      </c>
      <c r="U180" s="3">
        <f t="shared" si="9"/>
        <v>8.686124043674422</v>
      </c>
      <c r="V180" s="3">
        <f t="shared" si="10"/>
        <v>-10.668933225315232</v>
      </c>
      <c r="W180" s="3">
        <f t="shared" si="11"/>
        <v>13.757720998346135</v>
      </c>
      <c r="Z180" s="3">
        <f t="shared" si="0"/>
        <v>5.906955566651367</v>
      </c>
      <c r="AA180" s="3">
        <f t="shared" si="1"/>
        <v>4.6308463143791165</v>
      </c>
      <c r="AB180" s="3">
        <f t="shared" si="12"/>
        <v>7.505788543104064</v>
      </c>
      <c r="AD180" s="27">
        <f t="shared" si="2"/>
        <v>0.167801279781732</v>
      </c>
      <c r="AE180" s="27"/>
      <c r="AF180" s="3">
        <f t="shared" si="3"/>
        <v>47.675440916815546</v>
      </c>
      <c r="AG180" s="3">
        <f t="shared" si="13"/>
        <v>6.351823082015455</v>
      </c>
      <c r="AH180" s="28">
        <f t="shared" si="14"/>
        <v>151.41298303034654</v>
      </c>
      <c r="AI180" s="28">
        <f t="shared" si="15"/>
        <v>161.38262586089726</v>
      </c>
      <c r="AJ180" s="28">
        <f t="shared" si="16"/>
        <v>142.0592291632981</v>
      </c>
      <c r="AK180" s="28">
        <f t="shared" si="4"/>
        <v>98.48543834128259</v>
      </c>
      <c r="AL180" s="75">
        <f t="shared" si="17"/>
        <v>48.76054616817894</v>
      </c>
      <c r="AM180" s="28">
        <f t="shared" si="18"/>
        <v>76.9396549404241</v>
      </c>
      <c r="AN180" s="28">
        <f t="shared" si="5"/>
        <v>83.6493769645161</v>
      </c>
      <c r="AO180" s="28">
        <f t="shared" si="19"/>
        <v>6.709722024091988</v>
      </c>
      <c r="AP180" s="1">
        <f t="shared" si="6"/>
        <v>85</v>
      </c>
      <c r="AQ180" s="28">
        <f t="shared" si="20"/>
        <v>84.88965494042411</v>
      </c>
      <c r="AR180" s="3">
        <f t="shared" si="21"/>
        <v>1.3323050526366733</v>
      </c>
      <c r="AT180" s="3">
        <f t="shared" si="22"/>
        <v>37.83427017929644</v>
      </c>
      <c r="AU180" s="3">
        <f t="shared" si="7"/>
        <v>5.040678932269767</v>
      </c>
      <c r="AV180" s="28">
        <f t="shared" si="23"/>
        <v>95.35520430529093</v>
      </c>
      <c r="AW180" s="28">
        <f t="shared" si="24"/>
        <v>96.47725119425097</v>
      </c>
      <c r="AY180" s="28">
        <f t="shared" si="8"/>
        <v>86.96496142274275</v>
      </c>
    </row>
    <row r="181" spans="20:51" ht="12.75">
      <c r="T181" s="74">
        <f t="shared" si="25"/>
        <v>53.83600770529416</v>
      </c>
      <c r="U181" s="3">
        <f t="shared" si="9"/>
        <v>7.540120160879199</v>
      </c>
      <c r="V181" s="3">
        <f t="shared" si="10"/>
        <v>-8.263820895218924</v>
      </c>
      <c r="W181" s="3">
        <f t="shared" si="11"/>
        <v>11.186784516953647</v>
      </c>
      <c r="Z181" s="3">
        <f t="shared" si="0"/>
        <v>6.081385148389504</v>
      </c>
      <c r="AA181" s="3">
        <f t="shared" si="1"/>
        <v>5.640095214560042</v>
      </c>
      <c r="AB181" s="3">
        <f t="shared" si="12"/>
        <v>8.294209989646726</v>
      </c>
      <c r="AD181" s="27">
        <f t="shared" si="2"/>
        <v>0.1739642394453104</v>
      </c>
      <c r="AE181" s="27"/>
      <c r="AF181" s="3">
        <f t="shared" si="3"/>
        <v>45.986462651796785</v>
      </c>
      <c r="AG181" s="3">
        <f t="shared" si="13"/>
        <v>5.544405399573863</v>
      </c>
      <c r="AH181" s="28">
        <f t="shared" si="14"/>
        <v>127.48379591696194</v>
      </c>
      <c r="AI181" s="28">
        <f t="shared" si="15"/>
        <v>122.96172493929524</v>
      </c>
      <c r="AJ181" s="28">
        <f t="shared" si="16"/>
        <v>132.1721717015688</v>
      </c>
      <c r="AK181" s="28">
        <f t="shared" si="4"/>
        <v>100.20560974507677</v>
      </c>
      <c r="AL181" s="75">
        <f t="shared" si="17"/>
        <v>53.83600770529416</v>
      </c>
      <c r="AM181" s="28">
        <f t="shared" si="18"/>
        <v>78.97312062325122</v>
      </c>
      <c r="AN181" s="28">
        <f t="shared" si="5"/>
        <v>83.87706935657054</v>
      </c>
      <c r="AO181" s="28">
        <f t="shared" si="19"/>
        <v>4.903948733319325</v>
      </c>
      <c r="AP181" s="1">
        <f t="shared" si="6"/>
        <v>85</v>
      </c>
      <c r="AQ181" s="28">
        <f t="shared" si="20"/>
        <v>86.92312062325122</v>
      </c>
      <c r="AR181" s="3">
        <f t="shared" si="21"/>
        <v>1.2056603356416744</v>
      </c>
      <c r="AT181" s="3">
        <f t="shared" si="22"/>
        <v>37.83427017929644</v>
      </c>
      <c r="AU181" s="3">
        <f t="shared" si="7"/>
        <v>4.561527888312834</v>
      </c>
      <c r="AV181" s="28">
        <f t="shared" si="23"/>
        <v>86.29103927841166</v>
      </c>
      <c r="AW181" s="28">
        <f t="shared" si="24"/>
        <v>98.5107168770781</v>
      </c>
      <c r="AY181" s="28">
        <f t="shared" si="8"/>
        <v>89.85851280746695</v>
      </c>
    </row>
    <row r="182" spans="20:51" ht="12.75">
      <c r="T182" s="74">
        <f t="shared" si="25"/>
        <v>59.439771565477834</v>
      </c>
      <c r="U182" s="3">
        <f t="shared" si="9"/>
        <v>6.906632466611889</v>
      </c>
      <c r="V182" s="3">
        <f t="shared" si="10"/>
        <v>-6.518967744222175</v>
      </c>
      <c r="W182" s="3">
        <f t="shared" si="11"/>
        <v>9.497289743872543</v>
      </c>
      <c r="Z182" s="3">
        <f t="shared" si="0"/>
        <v>6.437542917094822</v>
      </c>
      <c r="AA182" s="3">
        <f t="shared" si="1"/>
        <v>7.17451148262537</v>
      </c>
      <c r="AB182" s="3">
        <f t="shared" si="12"/>
        <v>9.639272473779387</v>
      </c>
      <c r="AD182" s="27">
        <f t="shared" si="2"/>
        <v>0.1798093592119355</v>
      </c>
      <c r="AE182" s="27"/>
      <c r="AF182" s="3">
        <f t="shared" si="3"/>
        <v>44.49156615129615</v>
      </c>
      <c r="AG182" s="3">
        <f t="shared" si="13"/>
        <v>4.615656033411389</v>
      </c>
      <c r="AH182" s="28">
        <f t="shared" si="14"/>
        <v>102.678882871076</v>
      </c>
      <c r="AI182" s="28">
        <f t="shared" si="15"/>
        <v>85.21712247506782</v>
      </c>
      <c r="AJ182" s="28">
        <f t="shared" si="16"/>
        <v>123.71871616219757</v>
      </c>
      <c r="AK182" s="28">
        <f t="shared" si="4"/>
        <v>101.92578114887095</v>
      </c>
      <c r="AL182" s="75">
        <f t="shared" si="17"/>
        <v>59.439771565477834</v>
      </c>
      <c r="AM182" s="28">
        <f t="shared" si="18"/>
        <v>80.98033823940312</v>
      </c>
      <c r="AN182" s="28">
        <f t="shared" si="5"/>
        <v>84.06841543425867</v>
      </c>
      <c r="AO182" s="28">
        <f t="shared" si="19"/>
        <v>3.0880771948555434</v>
      </c>
      <c r="AP182" s="1">
        <f t="shared" si="6"/>
        <v>85</v>
      </c>
      <c r="AQ182" s="28">
        <f t="shared" si="20"/>
        <v>88.93033823940313</v>
      </c>
      <c r="AR182" s="3">
        <f t="shared" si="21"/>
        <v>1.0374226921380072</v>
      </c>
      <c r="AT182" s="3">
        <f t="shared" si="22"/>
        <v>37.83427017929644</v>
      </c>
      <c r="AU182" s="3">
        <f t="shared" si="7"/>
        <v>3.9250130424482434</v>
      </c>
      <c r="AV182" s="28">
        <f t="shared" si="23"/>
        <v>74.25000195262459</v>
      </c>
      <c r="AW182" s="28">
        <f t="shared" si="24"/>
        <v>100.51793449323</v>
      </c>
      <c r="AY182" s="28">
        <f t="shared" si="8"/>
        <v>92.72581612551595</v>
      </c>
    </row>
    <row r="183" spans="20:51" ht="12.75">
      <c r="T183" s="74">
        <f t="shared" si="25"/>
        <v>65.62682848061091</v>
      </c>
      <c r="U183" s="3">
        <f t="shared" si="9"/>
        <v>6.522895225795797</v>
      </c>
      <c r="V183" s="3">
        <f t="shared" si="10"/>
        <v>-5.180881787213031</v>
      </c>
      <c r="W183" s="3">
        <f t="shared" si="11"/>
        <v>8.330047912214269</v>
      </c>
      <c r="Z183" s="3">
        <f t="shared" si="0"/>
        <v>7.345411920369706</v>
      </c>
      <c r="AA183" s="3">
        <f t="shared" si="1"/>
        <v>9.845797047113596</v>
      </c>
      <c r="AB183" s="3">
        <f t="shared" si="12"/>
        <v>12.283924282282928</v>
      </c>
      <c r="AD183" s="27">
        <f t="shared" si="2"/>
        <v>0.1835233643282373</v>
      </c>
      <c r="AE183" s="27"/>
      <c r="AF183" s="3">
        <f t="shared" si="3"/>
        <v>43.59117995293367</v>
      </c>
      <c r="AG183" s="3">
        <f t="shared" si="13"/>
        <v>3.5486363275460038</v>
      </c>
      <c r="AH183" s="28">
        <f t="shared" si="14"/>
        <v>77.34462237078776</v>
      </c>
      <c r="AI183" s="28">
        <f t="shared" si="15"/>
        <v>50.37127914071675</v>
      </c>
      <c r="AJ183" s="28">
        <f t="shared" si="16"/>
        <v>118.7619356055654</v>
      </c>
      <c r="AK183" s="28">
        <f t="shared" si="4"/>
        <v>103.64595255266514</v>
      </c>
      <c r="AL183" s="75">
        <f t="shared" si="17"/>
        <v>65.62682848061091</v>
      </c>
      <c r="AM183" s="28">
        <f t="shared" si="18"/>
        <v>82.87809101770696</v>
      </c>
      <c r="AN183" s="28">
        <f t="shared" si="5"/>
        <v>84.22859300885098</v>
      </c>
      <c r="AO183" s="28">
        <f t="shared" si="19"/>
        <v>1.3505019911440144</v>
      </c>
      <c r="AP183" s="1">
        <f t="shared" si="6"/>
        <v>85</v>
      </c>
      <c r="AQ183" s="28">
        <f t="shared" si="20"/>
        <v>90.82809101770697</v>
      </c>
      <c r="AR183" s="3">
        <f t="shared" si="21"/>
        <v>0.8140720970108041</v>
      </c>
      <c r="AT183" s="3">
        <f t="shared" si="22"/>
        <v>37.83427017929644</v>
      </c>
      <c r="AU183" s="3">
        <f t="shared" si="7"/>
        <v>3.079982366373318</v>
      </c>
      <c r="AV183" s="28">
        <f t="shared" si="23"/>
        <v>58.264442498418454</v>
      </c>
      <c r="AW183" s="28">
        <f t="shared" si="24"/>
        <v>102.41568727153384</v>
      </c>
      <c r="AY183" s="28">
        <f t="shared" si="8"/>
        <v>95.48365460571688</v>
      </c>
    </row>
    <row r="184" spans="20:51" ht="12.75">
      <c r="T184" s="74">
        <f t="shared" si="25"/>
        <v>72.4578931411124</v>
      </c>
      <c r="U184" s="3">
        <f t="shared" si="9"/>
        <v>6.274483915786337</v>
      </c>
      <c r="V184" s="3">
        <f t="shared" si="10"/>
        <v>-4.104940214415828</v>
      </c>
      <c r="W184" s="3">
        <f t="shared" si="11"/>
        <v>7.497978565812902</v>
      </c>
      <c r="Z184" s="3">
        <f t="shared" si="0"/>
        <v>10.869052399191943</v>
      </c>
      <c r="AA184" s="3">
        <f t="shared" si="1"/>
        <v>15.60117219285064</v>
      </c>
      <c r="AB184" s="3">
        <f t="shared" si="12"/>
        <v>19.01401782494579</v>
      </c>
      <c r="AD184" s="27">
        <f t="shared" si="2"/>
        <v>0.18206904243497996</v>
      </c>
      <c r="AE184" s="27"/>
      <c r="AF184" s="3">
        <f t="shared" si="3"/>
        <v>43.93937537655222</v>
      </c>
      <c r="AG184" s="3">
        <f t="shared" si="13"/>
        <v>2.310893772220259</v>
      </c>
      <c r="AH184" s="28">
        <f t="shared" si="14"/>
        <v>50.76961445646136</v>
      </c>
      <c r="AI184" s="28">
        <f t="shared" si="15"/>
        <v>21.36092010594551</v>
      </c>
      <c r="AJ184" s="28">
        <f t="shared" si="16"/>
        <v>120.66679428009772</v>
      </c>
      <c r="AK184" s="28">
        <f t="shared" si="4"/>
        <v>105.36612395645929</v>
      </c>
      <c r="AL184" s="75">
        <f t="shared" si="17"/>
        <v>72.4578931411124</v>
      </c>
      <c r="AM184" s="28">
        <f t="shared" si="18"/>
        <v>84.52915734239326</v>
      </c>
      <c r="AN184" s="28">
        <f t="shared" si="5"/>
        <v>84.36223424480164</v>
      </c>
      <c r="AO184" s="28">
        <f t="shared" si="19"/>
        <v>-0.16692309759162072</v>
      </c>
      <c r="AP184" s="1">
        <f t="shared" si="6"/>
        <v>85</v>
      </c>
      <c r="AQ184" s="28">
        <f t="shared" si="20"/>
        <v>92.47915734239326</v>
      </c>
      <c r="AR184" s="3">
        <f t="shared" si="21"/>
        <v>0.5259277703463766</v>
      </c>
      <c r="AT184" s="3">
        <f t="shared" si="22"/>
        <v>37.83427017929644</v>
      </c>
      <c r="AU184" s="3">
        <f t="shared" si="7"/>
        <v>1.9898093358079783</v>
      </c>
      <c r="AV184" s="28">
        <f t="shared" si="23"/>
        <v>37.641492008122725</v>
      </c>
      <c r="AW184" s="28">
        <f t="shared" si="24"/>
        <v>104.06675359622012</v>
      </c>
      <c r="AY184" s="28">
        <f t="shared" si="8"/>
        <v>97.99480663230025</v>
      </c>
    </row>
    <row r="185" spans="20:51" ht="12.75">
      <c r="T185" s="74">
        <f t="shared" si="25"/>
        <v>79.99999999999984</v>
      </c>
      <c r="U185" s="3">
        <f t="shared" si="9"/>
        <v>6.1055012744861665</v>
      </c>
      <c r="V185" s="3">
        <f t="shared" si="10"/>
        <v>-3.2043742074566315</v>
      </c>
      <c r="W185" s="3">
        <f t="shared" si="11"/>
        <v>6.895299839322836</v>
      </c>
      <c r="Z185" s="3">
        <f t="shared" si="0"/>
        <v>39.5411907872262</v>
      </c>
      <c r="AA185" s="3">
        <f t="shared" si="1"/>
        <v>19.187911880521415</v>
      </c>
      <c r="AB185" s="3">
        <f t="shared" si="12"/>
        <v>43.95090136967019</v>
      </c>
      <c r="AD185" s="27">
        <f t="shared" si="2"/>
        <v>0.17226126358668178</v>
      </c>
      <c r="AE185" s="27"/>
      <c r="AF185" s="3">
        <f t="shared" si="3"/>
        <v>46.44108509034827</v>
      </c>
      <c r="AG185" s="3">
        <f t="shared" si="13"/>
        <v>1.0566583083184844</v>
      </c>
      <c r="AH185" s="28">
        <f t="shared" si="14"/>
        <v>24.536179204021092</v>
      </c>
      <c r="AI185" s="28">
        <f t="shared" si="15"/>
        <v>4.466107122153925</v>
      </c>
      <c r="AJ185" s="28">
        <f t="shared" si="16"/>
        <v>134.7983990230605</v>
      </c>
      <c r="AK185" s="28">
        <f t="shared" si="4"/>
        <v>107.08629536025347</v>
      </c>
      <c r="AL185" s="75">
        <f t="shared" si="17"/>
        <v>79.99999999999984</v>
      </c>
      <c r="AM185" s="28">
        <f t="shared" si="18"/>
        <v>85.76835915538211</v>
      </c>
      <c r="AN185" s="28">
        <f t="shared" si="5"/>
        <v>84.47342122555301</v>
      </c>
      <c r="AO185" s="28">
        <f t="shared" si="19"/>
        <v>-1.2949379298291035</v>
      </c>
      <c r="AP185" s="1">
        <f t="shared" si="6"/>
        <v>85</v>
      </c>
      <c r="AQ185" s="28">
        <f t="shared" si="20"/>
        <v>93.71835915538212</v>
      </c>
      <c r="AR185" s="3">
        <f t="shared" si="21"/>
        <v>0.22752661921288464</v>
      </c>
      <c r="AT185" s="3">
        <f t="shared" si="22"/>
        <v>37.83427017929644</v>
      </c>
      <c r="AU185" s="3">
        <f t="shared" si="7"/>
        <v>0.8608303584282178</v>
      </c>
      <c r="AV185" s="28">
        <f t="shared" si="23"/>
        <v>16.28444417965689</v>
      </c>
      <c r="AW185" s="28">
        <f t="shared" si="24"/>
        <v>105.30595540920899</v>
      </c>
      <c r="AY185" s="28">
        <f t="shared" si="8"/>
        <v>100.09409414718621</v>
      </c>
    </row>
    <row r="186" spans="20:51" ht="12.75">
      <c r="T186" s="74">
        <f t="shared" si="25"/>
        <v>88.3271610939048</v>
      </c>
      <c r="U186" s="3">
        <f t="shared" si="9"/>
        <v>5.986114286839935</v>
      </c>
      <c r="V186" s="3">
        <f t="shared" si="10"/>
        <v>-2.4242358613602124</v>
      </c>
      <c r="W186" s="3">
        <f t="shared" si="11"/>
        <v>6.458365409808745</v>
      </c>
      <c r="Z186" s="3">
        <f t="shared" si="0"/>
        <v>17.27571260838845</v>
      </c>
      <c r="AA186" s="3">
        <f t="shared" si="1"/>
        <v>-17.29097674705431</v>
      </c>
      <c r="AB186" s="3">
        <f t="shared" si="12"/>
        <v>24.442342829499886</v>
      </c>
      <c r="AD186" s="27">
        <f t="shared" si="2"/>
        <v>0.15358557435084044</v>
      </c>
      <c r="AE186" s="27"/>
      <c r="AF186" s="3">
        <f t="shared" si="3"/>
        <v>52.08822530249712</v>
      </c>
      <c r="AG186" s="3">
        <f t="shared" si="13"/>
        <v>2.1310651628546404</v>
      </c>
      <c r="AH186" s="28">
        <f t="shared" si="14"/>
        <v>55.501701168537615</v>
      </c>
      <c r="AI186" s="28">
        <f t="shared" si="15"/>
        <v>18.1657549133307</v>
      </c>
      <c r="AJ186" s="28">
        <f t="shared" si="16"/>
        <v>169.57395094773133</v>
      </c>
      <c r="AK186" s="28">
        <f t="shared" si="4"/>
        <v>108.80646676404766</v>
      </c>
      <c r="AL186" s="75">
        <f t="shared" si="17"/>
        <v>88.3271610939048</v>
      </c>
      <c r="AM186" s="28">
        <f t="shared" si="18"/>
        <v>86.49178651082138</v>
      </c>
      <c r="AN186" s="28">
        <f t="shared" si="5"/>
        <v>84.5657066469345</v>
      </c>
      <c r="AO186" s="28">
        <f t="shared" si="19"/>
        <v>-1.9260798638868835</v>
      </c>
      <c r="AP186" s="1">
        <f t="shared" si="6"/>
        <v>85</v>
      </c>
      <c r="AQ186" s="28">
        <f t="shared" si="20"/>
        <v>94.44178651082139</v>
      </c>
      <c r="AR186" s="3">
        <f t="shared" si="21"/>
        <v>0.40912608377012155</v>
      </c>
      <c r="AT186" s="3">
        <f t="shared" si="22"/>
        <v>37.83427017929644</v>
      </c>
      <c r="AU186" s="3">
        <f t="shared" si="7"/>
        <v>1.5478986790756246</v>
      </c>
      <c r="AV186" s="28">
        <f t="shared" si="23"/>
        <v>29.281808417161628</v>
      </c>
      <c r="AW186" s="28">
        <f t="shared" si="24"/>
        <v>106.02938276464826</v>
      </c>
      <c r="AY186" s="28">
        <f t="shared" si="8"/>
        <v>101.67760720452256</v>
      </c>
    </row>
    <row r="187" spans="20:51" ht="12.75">
      <c r="T187" s="74">
        <f t="shared" si="25"/>
        <v>97.52109233635782</v>
      </c>
      <c r="U187" s="3">
        <f t="shared" si="9"/>
        <v>5.899248806923354</v>
      </c>
      <c r="V187" s="3">
        <f t="shared" si="10"/>
        <v>-1.7279075579521526</v>
      </c>
      <c r="W187" s="3">
        <f t="shared" si="11"/>
        <v>6.147096958305993</v>
      </c>
      <c r="Z187" s="3">
        <f t="shared" si="0"/>
        <v>8.373511727003363</v>
      </c>
      <c r="AA187" s="3">
        <f t="shared" si="1"/>
        <v>-8.539796599965348</v>
      </c>
      <c r="AB187" s="3">
        <f t="shared" si="12"/>
        <v>11.960093001772293</v>
      </c>
      <c r="AD187" s="27">
        <f t="shared" si="2"/>
        <v>0.12962891593655207</v>
      </c>
      <c r="AE187" s="27"/>
      <c r="AF187" s="3">
        <f t="shared" si="3"/>
        <v>61.714625492321986</v>
      </c>
      <c r="AG187" s="3">
        <f t="shared" si="13"/>
        <v>5.160045618639995</v>
      </c>
      <c r="AH187" s="28">
        <f t="shared" si="14"/>
        <v>159.22514143883208</v>
      </c>
      <c r="AI187" s="28">
        <f t="shared" si="15"/>
        <v>106.50428314578322</v>
      </c>
      <c r="AJ187" s="28">
        <f t="shared" si="16"/>
        <v>238.0434374785974</v>
      </c>
      <c r="AK187" s="28">
        <f t="shared" si="4"/>
        <v>110.52663816784184</v>
      </c>
      <c r="AL187" s="75">
        <f t="shared" si="17"/>
        <v>97.52109233635782</v>
      </c>
      <c r="AM187" s="28">
        <f t="shared" si="18"/>
        <v>86.73898717397583</v>
      </c>
      <c r="AN187" s="28">
        <f t="shared" si="5"/>
        <v>84.64215064732454</v>
      </c>
      <c r="AO187" s="28">
        <f t="shared" si="19"/>
        <v>-2.0968365266512876</v>
      </c>
      <c r="AP187" s="1">
        <f t="shared" si="6"/>
        <v>85</v>
      </c>
      <c r="AQ187" s="28">
        <f t="shared" si="20"/>
        <v>94.68898717397583</v>
      </c>
      <c r="AR187" s="3">
        <f t="shared" si="21"/>
        <v>0.8361138996593221</v>
      </c>
      <c r="AT187" s="3">
        <f t="shared" si="22"/>
        <v>37.83427017929644</v>
      </c>
      <c r="AU187" s="3">
        <f t="shared" si="7"/>
        <v>3.1633759180375947</v>
      </c>
      <c r="AV187" s="28">
        <f t="shared" si="23"/>
        <v>59.84200958085713</v>
      </c>
      <c r="AW187" s="28">
        <f t="shared" si="24"/>
        <v>106.27658342780272</v>
      </c>
      <c r="AY187" s="28">
        <f t="shared" si="8"/>
        <v>102.78489356957411</v>
      </c>
    </row>
    <row r="188" spans="20:51" ht="12.75">
      <c r="T188" s="74">
        <f t="shared" si="25"/>
        <v>107.67201541058824</v>
      </c>
      <c r="U188" s="3">
        <f t="shared" si="9"/>
        <v>5.834565634494193</v>
      </c>
      <c r="V188" s="3">
        <f t="shared" si="10"/>
        <v>-1.0897919838448442</v>
      </c>
      <c r="W188" s="3">
        <f t="shared" si="11"/>
        <v>5.935469881253977</v>
      </c>
      <c r="Z188" s="3">
        <f t="shared" si="0"/>
        <v>6.756072626300747</v>
      </c>
      <c r="AA188" s="3">
        <f t="shared" si="1"/>
        <v>-4.72218078144507</v>
      </c>
      <c r="AB188" s="3">
        <f t="shared" si="12"/>
        <v>8.242785249204267</v>
      </c>
      <c r="AD188" s="27">
        <f t="shared" si="2"/>
        <v>0.10537123170389913</v>
      </c>
      <c r="AE188" s="27"/>
      <c r="AF188" s="3">
        <f t="shared" si="3"/>
        <v>75.9220507403822</v>
      </c>
      <c r="AG188" s="3">
        <f t="shared" si="13"/>
        <v>9.210727738868544</v>
      </c>
      <c r="AH188" s="28">
        <f t="shared" si="14"/>
        <v>349.6486693731117</v>
      </c>
      <c r="AI188" s="28">
        <f t="shared" si="15"/>
        <v>339.35002191824975</v>
      </c>
      <c r="AJ188" s="28">
        <f t="shared" si="16"/>
        <v>360.2598617890731</v>
      </c>
      <c r="AK188" s="28">
        <f t="shared" si="4"/>
        <v>112.24680957163602</v>
      </c>
      <c r="AL188" s="75">
        <f t="shared" si="17"/>
        <v>107.67201541058824</v>
      </c>
      <c r="AM188" s="28">
        <f t="shared" si="18"/>
        <v>86.65956192798187</v>
      </c>
      <c r="AN188" s="28">
        <f t="shared" si="5"/>
        <v>84.70536661323098</v>
      </c>
      <c r="AO188" s="28">
        <f t="shared" si="19"/>
        <v>-1.9541953147508906</v>
      </c>
      <c r="AP188" s="1">
        <f t="shared" si="6"/>
        <v>85</v>
      </c>
      <c r="AQ188" s="28">
        <f t="shared" si="20"/>
        <v>94.60956192798187</v>
      </c>
      <c r="AR188" s="3">
        <f t="shared" si="21"/>
        <v>1.2131821584173104</v>
      </c>
      <c r="AT188" s="3">
        <f t="shared" si="22"/>
        <v>37.83427017929644</v>
      </c>
      <c r="AU188" s="3">
        <f t="shared" si="7"/>
        <v>4.589986155826253</v>
      </c>
      <c r="AV188" s="28">
        <f t="shared" si="23"/>
        <v>86.82938816938035</v>
      </c>
      <c r="AW188" s="28">
        <f t="shared" si="24"/>
        <v>106.19715818180875</v>
      </c>
      <c r="AY188" s="28">
        <f t="shared" si="8"/>
        <v>103.56555402547723</v>
      </c>
    </row>
    <row r="189" spans="20:51" ht="12.75">
      <c r="T189" s="74">
        <f t="shared" si="25"/>
        <v>118.8795431309556</v>
      </c>
      <c r="U189" s="3">
        <f t="shared" si="9"/>
        <v>5.7855059920659855</v>
      </c>
      <c r="V189" s="3">
        <f t="shared" si="10"/>
        <v>-0.4911581543871173</v>
      </c>
      <c r="W189" s="3">
        <f t="shared" si="11"/>
        <v>5.8063168977289195</v>
      </c>
      <c r="Z189" s="3">
        <f t="shared" si="0"/>
        <v>6.217730574244139</v>
      </c>
      <c r="AA189" s="3">
        <f t="shared" si="1"/>
        <v>-2.651462799227839</v>
      </c>
      <c r="AB189" s="3">
        <f t="shared" si="12"/>
        <v>6.759469540546763</v>
      </c>
      <c r="AD189" s="27">
        <f t="shared" si="2"/>
        <v>0.08400489261680616</v>
      </c>
      <c r="AE189" s="27"/>
      <c r="AF189" s="3">
        <f t="shared" si="3"/>
        <v>95.23254837658713</v>
      </c>
      <c r="AG189" s="3">
        <f t="shared" si="13"/>
        <v>14.088760635037039</v>
      </c>
      <c r="AH189" s="28">
        <f t="shared" si="14"/>
        <v>670.8542893711606</v>
      </c>
      <c r="AI189" s="28">
        <f t="shared" si="15"/>
        <v>793.972704925477</v>
      </c>
      <c r="AJ189" s="28">
        <f t="shared" si="16"/>
        <v>566.8273918936881</v>
      </c>
      <c r="AK189" s="28">
        <f t="shared" si="4"/>
        <v>113.9669809754302</v>
      </c>
      <c r="AL189" s="75">
        <f t="shared" si="17"/>
        <v>118.8795431309556</v>
      </c>
      <c r="AM189" s="28">
        <f t="shared" si="18"/>
        <v>86.41138381913721</v>
      </c>
      <c r="AN189" s="28">
        <f t="shared" si="5"/>
        <v>84.75757064107296</v>
      </c>
      <c r="AO189" s="28">
        <f t="shared" si="19"/>
        <v>-1.6538131780642544</v>
      </c>
      <c r="AP189" s="1">
        <f t="shared" si="6"/>
        <v>85</v>
      </c>
      <c r="AQ189" s="28">
        <f t="shared" si="20"/>
        <v>94.36138381913722</v>
      </c>
      <c r="AR189" s="3">
        <f t="shared" si="21"/>
        <v>1.4794060303127152</v>
      </c>
      <c r="AT189" s="3">
        <f t="shared" si="22"/>
        <v>37.83427017929644</v>
      </c>
      <c r="AU189" s="3">
        <f t="shared" si="7"/>
        <v>5.597224745573168</v>
      </c>
      <c r="AV189" s="28">
        <f t="shared" si="23"/>
        <v>105.8834566391295</v>
      </c>
      <c r="AW189" s="28">
        <f t="shared" si="24"/>
        <v>105.9489800729641</v>
      </c>
      <c r="AY189" s="28">
        <f t="shared" si="8"/>
        <v>104.17746161852968</v>
      </c>
    </row>
    <row r="190" spans="20:51" ht="12.75">
      <c r="T190" s="74">
        <f t="shared" si="25"/>
        <v>131.25365696122176</v>
      </c>
      <c r="U190" s="3">
        <f t="shared" si="9"/>
        <v>5.747744259685962</v>
      </c>
      <c r="V190" s="3">
        <f t="shared" si="10"/>
        <v>0.08232681167866795</v>
      </c>
      <c r="W190" s="3">
        <f t="shared" si="11"/>
        <v>5.748333826307768</v>
      </c>
      <c r="Z190" s="3">
        <f t="shared" si="0"/>
        <v>5.977115180320628</v>
      </c>
      <c r="AA190" s="3">
        <f t="shared" si="1"/>
        <v>-1.2874549566799511</v>
      </c>
      <c r="AB190" s="3">
        <f t="shared" si="12"/>
        <v>6.114200368347366</v>
      </c>
      <c r="AD190" s="27">
        <f t="shared" si="2"/>
        <v>0.06651144798612472</v>
      </c>
      <c r="AE190" s="27"/>
      <c r="AF190" s="3">
        <f t="shared" si="3"/>
        <v>120.28004564971911</v>
      </c>
      <c r="AG190" s="3">
        <f t="shared" si="13"/>
        <v>19.67224467689961</v>
      </c>
      <c r="AH190" s="28">
        <f t="shared" si="14"/>
        <v>1183.0892438849644</v>
      </c>
      <c r="AI190" s="28">
        <f t="shared" si="15"/>
        <v>1547.9888425112201</v>
      </c>
      <c r="AJ190" s="28">
        <f t="shared" si="16"/>
        <v>904.2055863436572</v>
      </c>
      <c r="AK190" s="28">
        <f t="shared" si="4"/>
        <v>115.68715237922436</v>
      </c>
      <c r="AL190" s="75">
        <f t="shared" si="17"/>
        <v>131.25365696122176</v>
      </c>
      <c r="AM190" s="28">
        <f t="shared" si="18"/>
        <v>86.10339165770388</v>
      </c>
      <c r="AN190" s="28">
        <f t="shared" si="5"/>
        <v>84.80063096178102</v>
      </c>
      <c r="AO190" s="28">
        <f t="shared" si="19"/>
        <v>-1.3027606959228564</v>
      </c>
      <c r="AP190" s="1">
        <f t="shared" si="6"/>
        <v>85</v>
      </c>
      <c r="AQ190" s="28">
        <f t="shared" si="20"/>
        <v>94.05339165770388</v>
      </c>
      <c r="AR190" s="3">
        <f t="shared" si="21"/>
        <v>1.6355368482474093</v>
      </c>
      <c r="AT190" s="3">
        <f t="shared" si="22"/>
        <v>37.83427017929644</v>
      </c>
      <c r="AU190" s="3">
        <f t="shared" si="7"/>
        <v>6.187934300478744</v>
      </c>
      <c r="AV190" s="28">
        <f t="shared" si="23"/>
        <v>117.05798908802427</v>
      </c>
      <c r="AW190" s="28">
        <f t="shared" si="24"/>
        <v>105.64098791153076</v>
      </c>
      <c r="AY190" s="28">
        <f t="shared" si="8"/>
        <v>104.72955515899342</v>
      </c>
    </row>
    <row r="191" spans="20:51" ht="12.75">
      <c r="T191" s="74">
        <f t="shared" si="25"/>
        <v>144.91578628222473</v>
      </c>
      <c r="U191" s="3">
        <f t="shared" si="9"/>
        <v>5.7183321759477606</v>
      </c>
      <c r="V191" s="3">
        <f t="shared" si="10"/>
        <v>0.6421252553160541</v>
      </c>
      <c r="W191" s="3">
        <f t="shared" si="11"/>
        <v>5.754272127558286</v>
      </c>
      <c r="Z191" s="3">
        <f t="shared" si="0"/>
        <v>5.849732569783155</v>
      </c>
      <c r="AA191" s="3">
        <f t="shared" si="1"/>
        <v>-0.26245708616764407</v>
      </c>
      <c r="AB191" s="3">
        <f t="shared" si="12"/>
        <v>5.855617376507916</v>
      </c>
      <c r="AD191" s="27">
        <f t="shared" si="2"/>
        <v>0.0526565624330584</v>
      </c>
      <c r="AE191" s="27"/>
      <c r="AF191" s="3">
        <f t="shared" si="3"/>
        <v>151.9278819267835</v>
      </c>
      <c r="AG191" s="3">
        <f t="shared" si="13"/>
        <v>25.94566416451683</v>
      </c>
      <c r="AH191" s="28">
        <f t="shared" si="14"/>
        <v>1970.9349008493455</v>
      </c>
      <c r="AI191" s="28">
        <f t="shared" si="15"/>
        <v>2692.7099557515717</v>
      </c>
      <c r="AJ191" s="28">
        <f t="shared" si="16"/>
        <v>1442.6300816724167</v>
      </c>
      <c r="AK191" s="28">
        <f t="shared" si="4"/>
        <v>117.40732378301854</v>
      </c>
      <c r="AL191" s="75">
        <f t="shared" si="17"/>
        <v>144.91578628222473</v>
      </c>
      <c r="AM191" s="28">
        <f t="shared" si="18"/>
        <v>85.79468508163335</v>
      </c>
      <c r="AN191" s="28">
        <f t="shared" si="5"/>
        <v>84.83611495114235</v>
      </c>
      <c r="AO191" s="28">
        <f t="shared" si="19"/>
        <v>-0.9585701304909975</v>
      </c>
      <c r="AP191" s="1">
        <f t="shared" si="6"/>
        <v>85</v>
      </c>
      <c r="AQ191" s="28">
        <f t="shared" si="20"/>
        <v>93.74468508163335</v>
      </c>
      <c r="AR191" s="3">
        <f t="shared" si="21"/>
        <v>1.707761856182558</v>
      </c>
      <c r="AT191" s="3">
        <f t="shared" si="22"/>
        <v>37.83427017929644</v>
      </c>
      <c r="AU191" s="3">
        <f t="shared" si="7"/>
        <v>6.461192346870769</v>
      </c>
      <c r="AV191" s="28">
        <f t="shared" si="23"/>
        <v>122.22724846595555</v>
      </c>
      <c r="AW191" s="28">
        <f t="shared" si="24"/>
        <v>105.33228133546021</v>
      </c>
      <c r="AY191" s="28">
        <f t="shared" si="8"/>
        <v>105.28093428481995</v>
      </c>
    </row>
  </sheetData>
  <dataValidations count="1">
    <dataValidation type="list" allowBlank="1" showInputMessage="1" showErrorMessage="1" promptTitle="DriverChoice" prompt="Choose a driver from the drop-down list" sqref="U6">
      <formula1>Model</formula1>
    </dataValidation>
  </dataValidation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3.57421875" style="77" customWidth="1"/>
    <col min="4" max="4" width="8.00390625" style="0" customWidth="1"/>
    <col min="5" max="7" width="6.28125" style="0" customWidth="1"/>
    <col min="8" max="8" width="8.28125" style="0" customWidth="1"/>
    <col min="9" max="9" width="6.8515625" style="0" customWidth="1"/>
    <col min="10" max="10" width="7.28125" style="0" customWidth="1"/>
    <col min="11" max="12" width="6.28125" style="0" customWidth="1"/>
    <col min="13" max="13" width="7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3.140625" style="0" customWidth="1"/>
    <col min="23" max="23" width="10.140625" style="0" bestFit="1" customWidth="1"/>
  </cols>
  <sheetData>
    <row r="1" spans="1:30" s="77" customFormat="1" ht="30" customHeight="1">
      <c r="A1" s="82" t="s">
        <v>168</v>
      </c>
      <c r="B1" s="95" t="s">
        <v>210</v>
      </c>
      <c r="C1" s="82"/>
      <c r="D1" s="85" t="s">
        <v>182</v>
      </c>
      <c r="E1" s="85" t="s">
        <v>183</v>
      </c>
      <c r="F1" s="85" t="s">
        <v>184</v>
      </c>
      <c r="G1" s="86" t="s">
        <v>169</v>
      </c>
      <c r="H1" s="85" t="s">
        <v>185</v>
      </c>
      <c r="I1" s="85" t="s">
        <v>186</v>
      </c>
      <c r="J1" s="85" t="s">
        <v>187</v>
      </c>
      <c r="K1" s="85" t="s">
        <v>188</v>
      </c>
      <c r="L1" s="85" t="s">
        <v>189</v>
      </c>
      <c r="M1" s="85" t="s">
        <v>190</v>
      </c>
      <c r="N1" s="86" t="s">
        <v>170</v>
      </c>
      <c r="O1" s="86" t="s">
        <v>171</v>
      </c>
      <c r="P1" s="86" t="s">
        <v>172</v>
      </c>
      <c r="R1" s="77" t="s">
        <v>181</v>
      </c>
      <c r="S1" s="77" t="s">
        <v>178</v>
      </c>
      <c r="T1" s="77" t="s">
        <v>179</v>
      </c>
      <c r="U1" s="77" t="s">
        <v>180</v>
      </c>
      <c r="W1" s="77" t="s">
        <v>173</v>
      </c>
      <c r="X1" s="77" t="s">
        <v>13</v>
      </c>
      <c r="Y1" s="77" t="s">
        <v>24</v>
      </c>
      <c r="Z1" s="77" t="s">
        <v>12</v>
      </c>
      <c r="AA1" s="77" t="s">
        <v>175</v>
      </c>
      <c r="AB1" s="77" t="s">
        <v>176</v>
      </c>
      <c r="AC1" s="77" t="s">
        <v>177</v>
      </c>
      <c r="AD1" s="77" t="s">
        <v>174</v>
      </c>
    </row>
    <row r="2" spans="1:30" ht="12.75">
      <c r="A2" s="76" t="s">
        <v>192</v>
      </c>
      <c r="B2" s="93">
        <v>50</v>
      </c>
      <c r="C2" s="90"/>
      <c r="D2" s="10">
        <v>5.6</v>
      </c>
      <c r="E2" s="10">
        <v>3.3</v>
      </c>
      <c r="F2" s="10">
        <v>33.3</v>
      </c>
      <c r="G2" s="10">
        <v>10.2</v>
      </c>
      <c r="H2" s="10">
        <v>2.2</v>
      </c>
      <c r="I2" s="10">
        <v>51.1</v>
      </c>
      <c r="J2" s="10">
        <v>0.45</v>
      </c>
      <c r="K2" s="10">
        <v>69.3</v>
      </c>
      <c r="L2" s="10">
        <v>335</v>
      </c>
      <c r="M2" s="10">
        <v>8</v>
      </c>
      <c r="N2" s="10">
        <v>4.85</v>
      </c>
      <c r="O2" s="10">
        <v>0.57</v>
      </c>
      <c r="P2" s="10">
        <v>0.51</v>
      </c>
      <c r="Q2" s="82"/>
      <c r="R2" s="81">
        <f>(F2-AA2)/F2</f>
        <v>0.0033120878054509113</v>
      </c>
      <c r="S2" s="81">
        <f>(AB2-N2)/N2</f>
        <v>-0.0012891369480923275</v>
      </c>
      <c r="T2" s="81">
        <f>(O2-AC2)/O2</f>
        <v>-0.006275782746811258</v>
      </c>
      <c r="U2" s="81">
        <f>(P2-AD2)/P2</f>
        <v>-0.005583946526290752</v>
      </c>
      <c r="V2" s="83"/>
      <c r="W2" s="79">
        <f>((K2/(1.2*(343*L2*0.0001)^2)))</f>
        <v>0.4373953225182788</v>
      </c>
      <c r="X2" s="72">
        <f>J2*G2^2</f>
        <v>46.818</v>
      </c>
      <c r="Y2" s="72">
        <f>1000*I2/(G2^2)</f>
        <v>491.15724721261057</v>
      </c>
      <c r="Z2" s="72">
        <f>(G2^2)/H2</f>
        <v>47.29090909090908</v>
      </c>
      <c r="AA2" s="80">
        <f>(1/(2*PI()*SQRT(Y2*X2*0.000000001)))</f>
        <v>33.18970747607848</v>
      </c>
      <c r="AB2" s="78">
        <f>Z2/(2*PI()*AA2*X2/1000)</f>
        <v>4.843747685801752</v>
      </c>
      <c r="AC2" s="78">
        <f>D2/(2*PI()*AA2*X2/1000)</f>
        <v>0.5735771961656824</v>
      </c>
      <c r="AD2" s="78">
        <f>AB2*AC2/(AB2+AC2)</f>
        <v>0.5128478127284083</v>
      </c>
    </row>
    <row r="3" spans="1:30" ht="12.75">
      <c r="A3" s="76" t="s">
        <v>193</v>
      </c>
      <c r="B3" s="93">
        <v>50</v>
      </c>
      <c r="C3" s="90"/>
      <c r="D3" s="10">
        <v>5.7</v>
      </c>
      <c r="E3" s="10">
        <v>1.15</v>
      </c>
      <c r="F3" s="10">
        <v>33</v>
      </c>
      <c r="G3" s="10">
        <v>9.79</v>
      </c>
      <c r="H3" s="10">
        <v>1.4</v>
      </c>
      <c r="I3" s="10">
        <v>52.11</v>
      </c>
      <c r="J3" s="10">
        <v>0.4494</v>
      </c>
      <c r="K3" s="10">
        <v>75.71</v>
      </c>
      <c r="L3" s="10">
        <v>346.4</v>
      </c>
      <c r="M3" s="10">
        <v>8.25</v>
      </c>
      <c r="N3" s="10">
        <v>7.7</v>
      </c>
      <c r="O3" s="10">
        <v>0.64</v>
      </c>
      <c r="P3" s="10">
        <v>0.59</v>
      </c>
      <c r="Q3" s="82"/>
      <c r="R3" s="81">
        <f>(F3-AA3)/F3</f>
        <v>0.0033810949206013697</v>
      </c>
      <c r="S3" s="81">
        <f>(AB3-N3)/N3</f>
        <v>-0.0010925741106434098</v>
      </c>
      <c r="T3" s="81">
        <f>(O3-AC3)/O3</f>
        <v>-0.0006299567995938019</v>
      </c>
      <c r="U3" s="81">
        <f>(P3-AD3)/P3</f>
        <v>-0.0020021916664070463</v>
      </c>
      <c r="V3" s="83"/>
      <c r="W3" s="79">
        <f>((K3/(1.2*(343*L3*0.0001)^2)))</f>
        <v>0.4469181510368744</v>
      </c>
      <c r="X3" s="72">
        <f>J3*G3^2</f>
        <v>43.07233854</v>
      </c>
      <c r="Y3" s="72">
        <f>1000*I3/(G3^2)</f>
        <v>543.6954387385349</v>
      </c>
      <c r="Z3" s="72">
        <f>(G3^2)/H3</f>
        <v>68.46007142857142</v>
      </c>
      <c r="AA3" s="80">
        <f>(1/(2*PI()*SQRT(Y3*X3*0.000000001)))</f>
        <v>32.888423867620155</v>
      </c>
      <c r="AB3" s="78">
        <f>Z3/(2*PI()*AA3*X3/1000)</f>
        <v>7.691587179348046</v>
      </c>
      <c r="AC3" s="78">
        <f>D3/(2*PI()*AA3*X3/1000)</f>
        <v>0.64040317235174</v>
      </c>
      <c r="AD3" s="78">
        <f>AB3*AC3/(AB3+AC3)</f>
        <v>0.5911812930831801</v>
      </c>
    </row>
    <row r="4" spans="1:30" ht="12.75">
      <c r="A4" s="76" t="s">
        <v>194</v>
      </c>
      <c r="B4" s="91">
        <v>148</v>
      </c>
      <c r="C4" s="90"/>
      <c r="D4" s="10">
        <v>3.4</v>
      </c>
      <c r="E4" s="10">
        <v>4.3</v>
      </c>
      <c r="F4" s="10">
        <v>18.9</v>
      </c>
      <c r="G4" s="10">
        <v>17.5</v>
      </c>
      <c r="H4" s="10">
        <v>6.12</v>
      </c>
      <c r="I4" s="10">
        <v>135.3</v>
      </c>
      <c r="J4" s="10">
        <v>0.52</v>
      </c>
      <c r="K4" s="10">
        <v>89.7</v>
      </c>
      <c r="L4" s="10">
        <v>352</v>
      </c>
      <c r="M4" s="10">
        <v>26</v>
      </c>
      <c r="N4" s="10">
        <v>2.63</v>
      </c>
      <c r="O4" s="10">
        <v>0.18</v>
      </c>
      <c r="P4" s="10">
        <v>0.17</v>
      </c>
      <c r="Q4" s="82"/>
      <c r="R4" s="81">
        <f>(F4-AA4)/F4</f>
        <v>-0.003939998087043442</v>
      </c>
      <c r="S4" s="81">
        <f>(AB4-N4)/N4</f>
        <v>0.002166902925901329</v>
      </c>
      <c r="T4" s="81">
        <f>(O4-AC4)/O4</f>
        <v>0.005104329264470539</v>
      </c>
      <c r="U4" s="81">
        <f>(P4-AD4)/P4</f>
        <v>0.013601403865116688</v>
      </c>
      <c r="V4" s="83"/>
      <c r="W4" s="79">
        <f>((K4/(1.2*(343*L4*0.0001)^2)))</f>
        <v>0.5127877360581401</v>
      </c>
      <c r="X4" s="72">
        <f>J4*G4^2</f>
        <v>159.25</v>
      </c>
      <c r="Y4" s="72">
        <f>1000*I4/(G4^2)</f>
        <v>441.7959183673469</v>
      </c>
      <c r="Z4" s="72">
        <f>(G4^2)/H4</f>
        <v>50.040849673202615</v>
      </c>
      <c r="AA4" s="80">
        <f>(1/(2*PI()*SQRT(Y4*X4*0.000000001)))</f>
        <v>18.97446596384512</v>
      </c>
      <c r="AB4" s="78">
        <f>Z4/(2*PI()*AA4*X4/1000)</f>
        <v>2.6356989546951204</v>
      </c>
      <c r="AC4" s="78">
        <f>D4/(2*PI()*AA4*X4/1000)</f>
        <v>0.1790812207323953</v>
      </c>
      <c r="AD4" s="78">
        <f>AB4*AC4/(AB4+AC4)</f>
        <v>0.16768776134293017</v>
      </c>
    </row>
    <row r="5" spans="1:30" ht="12.75">
      <c r="A5" s="76" t="s">
        <v>195</v>
      </c>
      <c r="B5" s="91">
        <v>70.15</v>
      </c>
      <c r="C5" s="90"/>
      <c r="D5" s="10">
        <v>5.7</v>
      </c>
      <c r="E5" s="10">
        <v>3.1</v>
      </c>
      <c r="F5" s="10">
        <v>28</v>
      </c>
      <c r="G5" s="10">
        <v>12.2</v>
      </c>
      <c r="H5" s="10">
        <v>1.98</v>
      </c>
      <c r="I5" s="10">
        <v>75.4</v>
      </c>
      <c r="J5" s="10">
        <v>0.43</v>
      </c>
      <c r="K5" s="10">
        <v>172.4</v>
      </c>
      <c r="L5" s="10">
        <v>540</v>
      </c>
      <c r="M5" s="10">
        <v>8</v>
      </c>
      <c r="N5" s="10">
        <v>6.7</v>
      </c>
      <c r="O5" s="10">
        <v>0.51</v>
      </c>
      <c r="P5" s="10">
        <v>0.47</v>
      </c>
      <c r="Q5" s="82"/>
      <c r="R5" s="81">
        <f>(F5-AA5)/F5</f>
        <v>0.0017433785092205564</v>
      </c>
      <c r="S5" s="81">
        <f>(AB5-N5)/N5</f>
        <v>-0.001814051065916486</v>
      </c>
      <c r="T5" s="81">
        <f>(O5-AC5)/O5</f>
        <v>0.005656444454244067</v>
      </c>
      <c r="U5" s="81">
        <f>(P5-AD5)/P5</f>
        <v>-0.0029206833633071854</v>
      </c>
      <c r="V5" s="83"/>
      <c r="W5" s="79">
        <f>((K5/(1.2*(343*L5*0.0001)^2)))</f>
        <v>0.41877452597706577</v>
      </c>
      <c r="X5" s="72">
        <f>J5*G5^2</f>
        <v>64.00119999999998</v>
      </c>
      <c r="Y5" s="72">
        <f>1000*I5/(G5^2)</f>
        <v>506.5842515452836</v>
      </c>
      <c r="Z5" s="72">
        <f>(G5^2)/H5</f>
        <v>75.17171717171716</v>
      </c>
      <c r="AA5" s="80">
        <f>(1/(2*PI()*SQRT(Y5*X5*0.000000001)))</f>
        <v>27.951185401741824</v>
      </c>
      <c r="AB5" s="78">
        <f>Z5/(2*PI()*AA5*X5/1000)</f>
        <v>6.68784585785836</v>
      </c>
      <c r="AC5" s="78">
        <f>D5/(2*PI()*AA5*X5/1000)</f>
        <v>0.5071152133283355</v>
      </c>
      <c r="AD5" s="78">
        <f>AB5*AC5/(AB5+AC5)</f>
        <v>0.47137272118075435</v>
      </c>
    </row>
    <row r="6" spans="1:30" ht="12.75">
      <c r="A6" s="87" t="s">
        <v>196</v>
      </c>
      <c r="B6" s="92">
        <v>196.65</v>
      </c>
      <c r="C6" s="90"/>
      <c r="D6" s="84">
        <v>5.9</v>
      </c>
      <c r="E6" s="84">
        <v>3.6</v>
      </c>
      <c r="F6" s="84">
        <v>21.5</v>
      </c>
      <c r="G6" s="84">
        <v>13.1</v>
      </c>
      <c r="H6" s="84">
        <v>1.41</v>
      </c>
      <c r="I6" s="84">
        <v>101.4</v>
      </c>
      <c r="J6" s="84">
        <v>0.54</v>
      </c>
      <c r="K6" s="84">
        <v>162.5</v>
      </c>
      <c r="L6" s="84">
        <v>466</v>
      </c>
      <c r="M6" s="84">
        <v>26</v>
      </c>
      <c r="N6" s="84">
        <v>9.68</v>
      </c>
      <c r="O6" s="84">
        <v>0.47</v>
      </c>
      <c r="P6" s="84">
        <v>0.45</v>
      </c>
      <c r="Q6" s="77"/>
      <c r="R6" s="81">
        <f>(F6-AA6)/F6</f>
        <v>-0.00038187446803884453</v>
      </c>
      <c r="S6" s="81">
        <f>(AB6-N6)/N6</f>
        <v>0.003985932394274658</v>
      </c>
      <c r="T6" s="81">
        <f aca="true" t="shared" si="0" ref="T6:U9">(O6-AC6)/O6</f>
        <v>-0.0023829247287773035</v>
      </c>
      <c r="U6" s="81">
        <f t="shared" si="0"/>
        <v>0.0014715823714221235</v>
      </c>
      <c r="V6" s="77"/>
      <c r="W6" s="79">
        <f>((K6/(1.2*(343*L6*0.0001)^2)))</f>
        <v>0.5300441501927335</v>
      </c>
      <c r="X6" s="72">
        <f>J6*G6^2</f>
        <v>92.6694</v>
      </c>
      <c r="Y6" s="72">
        <f>1000*I6/(G6^2)</f>
        <v>590.8746576539829</v>
      </c>
      <c r="Z6" s="72">
        <f>(G6^2)/H6</f>
        <v>121.70921985815602</v>
      </c>
      <c r="AA6" s="80">
        <f>(1/(2*PI()*SQRT(Y6*X6*0.000000001)))</f>
        <v>21.508210301062835</v>
      </c>
      <c r="AB6" s="78">
        <f>Z6/(2*PI()*AA6*X6/1000)</f>
        <v>9.718583825576578</v>
      </c>
      <c r="AC6" s="78">
        <f>D6/(2*PI()*AA6*X6/1000)</f>
        <v>0.4711199746225253</v>
      </c>
      <c r="AD6" s="78">
        <f>AB6*AC6/(AB6+AC6)</f>
        <v>0.44933778793286006</v>
      </c>
    </row>
    <row r="7" spans="1:30" ht="12.75">
      <c r="A7" s="87" t="s">
        <v>197</v>
      </c>
      <c r="B7" s="92">
        <v>174.05</v>
      </c>
      <c r="C7" s="90"/>
      <c r="D7" s="84">
        <v>2.9</v>
      </c>
      <c r="E7" s="84">
        <v>0.4</v>
      </c>
      <c r="F7" s="84">
        <v>23</v>
      </c>
      <c r="G7" s="84">
        <v>11.74</v>
      </c>
      <c r="H7" s="84">
        <v>1.04</v>
      </c>
      <c r="I7" s="84">
        <v>98.21</v>
      </c>
      <c r="J7" s="84">
        <v>0.476</v>
      </c>
      <c r="K7" s="84">
        <v>72.83</v>
      </c>
      <c r="L7" s="84">
        <v>330.1</v>
      </c>
      <c r="M7" s="84">
        <v>9.05</v>
      </c>
      <c r="N7" s="84">
        <v>13.8</v>
      </c>
      <c r="O7" s="84">
        <v>0.3</v>
      </c>
      <c r="P7" s="84">
        <v>0.29</v>
      </c>
      <c r="Q7" s="77"/>
      <c r="R7" s="81">
        <f>(F7-AA7)/F7</f>
        <v>-0.012070960455434572</v>
      </c>
      <c r="S7" s="81">
        <f>(AB7-N7)/N7</f>
        <v>0.0008337760419156434</v>
      </c>
      <c r="T7" s="81">
        <f t="shared" si="0"/>
        <v>-0.0074301138012357795</v>
      </c>
      <c r="U7" s="81">
        <f t="shared" si="0"/>
        <v>-0.019852258374081222</v>
      </c>
      <c r="V7" s="77"/>
      <c r="W7" s="79">
        <f>((K7/(1.2*(343*L7*0.0001)^2)))</f>
        <v>0.47342346003204344</v>
      </c>
      <c r="X7" s="72">
        <f>J7*G7^2</f>
        <v>65.6059376</v>
      </c>
      <c r="Y7" s="72">
        <f>1000*I7/(G7^2)</f>
        <v>712.5568463790996</v>
      </c>
      <c r="Z7" s="72">
        <f>(G7^2)/H7</f>
        <v>132.52653846153848</v>
      </c>
      <c r="AA7" s="80">
        <f>(1/(2*PI()*SQRT(Y7*X7*0.000000001)))</f>
        <v>23.277632090474995</v>
      </c>
      <c r="AB7" s="78">
        <f>Z7/(2*PI()*AA7*X7/1000)</f>
        <v>13.811506109378437</v>
      </c>
      <c r="AC7" s="78">
        <f>D7/(2*PI()*AA7*X7/1000)</f>
        <v>0.3022290341403707</v>
      </c>
      <c r="AD7" s="78">
        <f>AB7*AC7/(AB7+AC7)</f>
        <v>0.29575715492848353</v>
      </c>
    </row>
    <row r="8" spans="1:30" ht="12.75">
      <c r="A8" s="87" t="s">
        <v>198</v>
      </c>
      <c r="B8" s="92">
        <v>202.65</v>
      </c>
      <c r="C8" s="90"/>
      <c r="D8" s="84">
        <v>2.8</v>
      </c>
      <c r="E8" s="84">
        <v>0.38</v>
      </c>
      <c r="F8" s="84">
        <v>20</v>
      </c>
      <c r="G8" s="84">
        <v>11.12</v>
      </c>
      <c r="H8" s="84">
        <v>0.92</v>
      </c>
      <c r="I8" s="84">
        <v>113.91</v>
      </c>
      <c r="J8" s="84">
        <v>0.5592</v>
      </c>
      <c r="K8" s="84">
        <v>201.66</v>
      </c>
      <c r="L8" s="84">
        <v>506.7</v>
      </c>
      <c r="M8" s="84">
        <v>9</v>
      </c>
      <c r="N8" s="84">
        <v>15.6</v>
      </c>
      <c r="O8" s="84">
        <v>0.32</v>
      </c>
      <c r="P8" s="84">
        <v>0.31</v>
      </c>
      <c r="Q8" s="77"/>
      <c r="R8" s="81">
        <f>(F8-AA8)/F8</f>
        <v>0.0029300474134567266</v>
      </c>
      <c r="S8" s="81">
        <f>(AB8-N8)/N8</f>
        <v>-0.0055454964801548426</v>
      </c>
      <c r="T8" s="81">
        <f t="shared" si="0"/>
        <v>-0.009940580780159677</v>
      </c>
      <c r="U8" s="81">
        <f t="shared" si="0"/>
        <v>-0.021244483631546292</v>
      </c>
      <c r="V8" s="77"/>
      <c r="W8" s="79">
        <f>((K8/(1.2*(343*L8*0.0001)^2)))</f>
        <v>0.5563504813577329</v>
      </c>
      <c r="X8" s="72">
        <f>J8*G8^2</f>
        <v>69.14754047999999</v>
      </c>
      <c r="Y8" s="72">
        <f>1000*I8/(G8^2)</f>
        <v>921.1964960405777</v>
      </c>
      <c r="Z8" s="72">
        <f>(G8^2)/H8</f>
        <v>134.4069565217391</v>
      </c>
      <c r="AA8" s="80">
        <f>(1/(2*PI()*SQRT(Y8*X8*0.000000001)))</f>
        <v>19.941399051730865</v>
      </c>
      <c r="AB8" s="78">
        <f>Z8/(2*PI()*AA8*X8/1000)</f>
        <v>15.513490254909584</v>
      </c>
      <c r="AC8" s="78">
        <f>D8/(2*PI()*AA8*X8/1000)</f>
        <v>0.3231809858496511</v>
      </c>
      <c r="AD8" s="78">
        <f>AB8*AC8/(AB8+AC8)</f>
        <v>0.31658578992577935</v>
      </c>
    </row>
    <row r="9" spans="1:30" ht="12.75">
      <c r="A9" s="87" t="s">
        <v>200</v>
      </c>
      <c r="B9" s="92">
        <v>228.1</v>
      </c>
      <c r="C9" s="90"/>
      <c r="D9" s="84">
        <v>3.1</v>
      </c>
      <c r="E9" s="84">
        <v>0.53</v>
      </c>
      <c r="F9" s="84">
        <v>22</v>
      </c>
      <c r="G9" s="84">
        <v>12</v>
      </c>
      <c r="H9" s="84">
        <v>3.7</v>
      </c>
      <c r="I9" s="84">
        <v>107</v>
      </c>
      <c r="J9" s="84">
        <v>0.5</v>
      </c>
      <c r="K9" s="84">
        <v>87</v>
      </c>
      <c r="L9" s="84">
        <v>363</v>
      </c>
      <c r="M9" s="84">
        <v>28</v>
      </c>
      <c r="N9" s="84">
        <v>4.14</v>
      </c>
      <c r="O9" s="84">
        <v>0.33</v>
      </c>
      <c r="P9" s="84">
        <v>0.31</v>
      </c>
      <c r="Q9" s="77"/>
      <c r="R9" s="81">
        <f>(F9-AA9)/F9</f>
        <v>0.010944733508810988</v>
      </c>
      <c r="S9" s="81">
        <f>(AB9-N9)/N9</f>
        <v>-0.044996811703369034</v>
      </c>
      <c r="T9" s="81">
        <f t="shared" si="0"/>
        <v>0.04568412460403723</v>
      </c>
      <c r="U9" s="81">
        <f t="shared" si="0"/>
        <v>0.05906355963672788</v>
      </c>
      <c r="V9" s="77"/>
      <c r="W9" s="79">
        <f>((K9/(1.2*(343*L9*0.0001)^2)))</f>
        <v>0.4676667744634711</v>
      </c>
      <c r="X9" s="72">
        <f>J9*G9^2</f>
        <v>72</v>
      </c>
      <c r="Y9" s="72">
        <f>1000*I9/(G9^2)</f>
        <v>743.0555555555555</v>
      </c>
      <c r="Z9" s="72">
        <f>(G9^2)/H9</f>
        <v>38.91891891891892</v>
      </c>
      <c r="AA9" s="80">
        <f>(1/(2*PI()*SQRT(Y9*X9*0.000000001)))</f>
        <v>21.75921586280616</v>
      </c>
      <c r="AB9" s="78">
        <f>Z9/(2*PI()*AA9*X9/1000)</f>
        <v>3.953713199548052</v>
      </c>
      <c r="AC9" s="78">
        <f>D9/(2*PI()*AA9*X9/1000)</f>
        <v>0.31492423888066773</v>
      </c>
      <c r="AD9" s="78">
        <f>AB9*AC9/(AB9+AC9)</f>
        <v>0.29169029651261436</v>
      </c>
    </row>
    <row r="10" spans="1:30" ht="12.75">
      <c r="A10" s="87" t="s">
        <v>201</v>
      </c>
      <c r="B10" s="92">
        <v>198.5</v>
      </c>
      <c r="C10" s="90"/>
      <c r="D10" s="84">
        <v>3.2</v>
      </c>
      <c r="F10" s="84">
        <v>24</v>
      </c>
      <c r="G10" s="84">
        <v>10.63</v>
      </c>
      <c r="H10" s="84">
        <v>2.31</v>
      </c>
      <c r="I10" s="84">
        <v>133.08</v>
      </c>
      <c r="J10" s="84">
        <v>0.33</v>
      </c>
      <c r="K10" s="84">
        <v>44.19</v>
      </c>
      <c r="L10" s="84">
        <v>312</v>
      </c>
      <c r="M10" s="84">
        <v>24</v>
      </c>
      <c r="N10" s="84">
        <v>9.47</v>
      </c>
      <c r="O10" s="84">
        <v>0.56</v>
      </c>
      <c r="P10" s="84">
        <v>0.52</v>
      </c>
      <c r="Q10" s="77"/>
      <c r="R10" s="81">
        <f>(F10-AA10)/F10</f>
        <v>-0.0006807004820054511</v>
      </c>
      <c r="S10" s="81">
        <f>(AB10-N10)/N10</f>
        <v>-0.08201102101414619</v>
      </c>
      <c r="T10" s="81">
        <f>(O10-AC10)/O10</f>
        <v>-0.015534889268180503</v>
      </c>
      <c r="U10" s="81">
        <f>(P10-AD10)/P10</f>
        <v>-0.02650156196234261</v>
      </c>
      <c r="V10" s="77"/>
      <c r="W10" s="79">
        <f>((K10/(1.2*(343*L10*0.0001)^2)))</f>
        <v>0.32154764071639363</v>
      </c>
      <c r="X10" s="72">
        <f>J10*G10^2</f>
        <v>37.288977</v>
      </c>
      <c r="Y10" s="72">
        <f>1000*I10/(G10^2)</f>
        <v>1177.7314244904062</v>
      </c>
      <c r="Z10" s="72">
        <f>(G10^2)/H10</f>
        <v>48.91640692640693</v>
      </c>
      <c r="AA10" s="80">
        <f>(1/(2*PI()*SQRT(Y10*X10*0.000000001)))</f>
        <v>24.01633681156813</v>
      </c>
      <c r="AB10" s="78">
        <f>Z10/(2*PI()*AA10*X10/1000)</f>
        <v>8.693355630996036</v>
      </c>
      <c r="AC10" s="78">
        <f>D10/(2*PI()*AA10*X10/1000)</f>
        <v>0.5686995379901811</v>
      </c>
      <c r="AD10" s="78">
        <f>AB10*AC10/(AB10+AC10)</f>
        <v>0.5337808122204182</v>
      </c>
    </row>
    <row r="11" spans="1:30" ht="12.75">
      <c r="A11" s="87" t="s">
        <v>202</v>
      </c>
      <c r="B11" s="92">
        <v>198.5</v>
      </c>
      <c r="C11" s="90"/>
      <c r="D11" s="84">
        <v>6.4</v>
      </c>
      <c r="F11" s="84">
        <v>20</v>
      </c>
      <c r="G11" s="84">
        <v>22.24</v>
      </c>
      <c r="H11" s="84">
        <v>3.02</v>
      </c>
      <c r="I11" s="84">
        <v>178</v>
      </c>
      <c r="J11" s="84">
        <v>0.34</v>
      </c>
      <c r="K11" s="84">
        <v>45.84</v>
      </c>
      <c r="L11" s="84">
        <v>312</v>
      </c>
      <c r="M11" s="84">
        <v>24</v>
      </c>
      <c r="N11" s="84">
        <v>9.47</v>
      </c>
      <c r="O11" s="84">
        <v>0.28</v>
      </c>
      <c r="P11" s="84">
        <v>0.27</v>
      </c>
      <c r="Q11" s="77"/>
      <c r="R11" s="81">
        <f>(F11-AA11)/F11</f>
        <v>-0.022917659577719896</v>
      </c>
      <c r="S11" s="81">
        <f>(AB11-N11)/N11</f>
        <v>-0.19995646396626493</v>
      </c>
      <c r="T11" s="81">
        <f>(O11-AC11)/O11</f>
        <v>-0.05736010338691465</v>
      </c>
      <c r="U11" s="81">
        <f>(P11-AD11)/P11</f>
        <v>-0.05528459928398056</v>
      </c>
      <c r="V11" s="77"/>
      <c r="W11" s="79">
        <f>((K11/(1.2*(343*L11*0.0001)^2)))</f>
        <v>0.3335538323249488</v>
      </c>
      <c r="X11" s="72">
        <f>J11*G11^2</f>
        <v>168.169984</v>
      </c>
      <c r="Y11" s="72">
        <f>1000*I11/(G11^2)</f>
        <v>359.8739713265359</v>
      </c>
      <c r="Z11" s="72">
        <f>(G11^2)/H11</f>
        <v>163.7806622516556</v>
      </c>
      <c r="AA11" s="80">
        <f>(1/(2*PI()*SQRT(Y11*X11*0.000000001)))</f>
        <v>20.458353191554398</v>
      </c>
      <c r="AB11" s="78">
        <f>Z11/(2*PI()*AA11*X11/1000)</f>
        <v>7.576412286239472</v>
      </c>
      <c r="AC11" s="78">
        <f>D11/(2*PI()*AA11*X11/1000)</f>
        <v>0.29606082894833613</v>
      </c>
      <c r="AD11" s="78">
        <f>AB11*AC11/(AB11+AC11)</f>
        <v>0.28492684180667477</v>
      </c>
    </row>
    <row r="12" spans="1:30" ht="12.75">
      <c r="A12" s="87" t="s">
        <v>203</v>
      </c>
      <c r="B12" s="92">
        <v>132.1</v>
      </c>
      <c r="C12" s="90"/>
      <c r="D12" s="84">
        <v>6.1</v>
      </c>
      <c r="E12" s="84">
        <v>3.37</v>
      </c>
      <c r="F12" s="84">
        <v>25</v>
      </c>
      <c r="G12" s="84">
        <v>9.6</v>
      </c>
      <c r="H12" s="84">
        <v>1.29</v>
      </c>
      <c r="I12" s="84">
        <v>39.4</v>
      </c>
      <c r="J12" s="84">
        <v>0.9</v>
      </c>
      <c r="K12" s="84">
        <v>161</v>
      </c>
      <c r="L12" s="84">
        <v>350</v>
      </c>
      <c r="M12" s="84">
        <v>8</v>
      </c>
      <c r="N12" s="84">
        <v>5.28</v>
      </c>
      <c r="O12" s="84">
        <v>0.45</v>
      </c>
      <c r="P12" s="84">
        <v>0.41</v>
      </c>
      <c r="Q12" s="77"/>
      <c r="R12" s="81">
        <f>(F12-AA12)/F12</f>
        <v>-0.0690813597029333</v>
      </c>
      <c r="S12" s="81">
        <f>(AB12-N12)/N12</f>
        <v>-0.028588538423028314</v>
      </c>
      <c r="T12" s="81">
        <f>(O12-AC12)/O12</f>
        <v>0.026800871497209618</v>
      </c>
      <c r="U12" s="81">
        <f>(P12-AD12)/P12</f>
        <v>0.015882607281261178</v>
      </c>
      <c r="V12" s="77"/>
      <c r="W12" s="79">
        <f>((K12/(1.2*(343*L12*0.0001)^2)))</f>
        <v>0.9309370204915427</v>
      </c>
      <c r="X12" s="72">
        <f>J12*G12^2</f>
        <v>82.944</v>
      </c>
      <c r="Y12" s="72">
        <f>1000*I12/(G12^2)</f>
        <v>427.51736111111114</v>
      </c>
      <c r="Z12" s="72">
        <f>(G12^2)/H12</f>
        <v>71.44186046511628</v>
      </c>
      <c r="AA12" s="80">
        <f>(1/(2*PI()*SQRT(Y12*X12*0.000000001)))</f>
        <v>26.727033992573332</v>
      </c>
      <c r="AB12" s="78">
        <f>Z12/(2*PI()*AA12*X12/1000)</f>
        <v>5.129052517126411</v>
      </c>
      <c r="AC12" s="78">
        <f>D12/(2*PI()*AA12*X12/1000)</f>
        <v>0.4379396078262557</v>
      </c>
      <c r="AD12" s="78">
        <f>AB12*AC12/(AB12+AC12)</f>
        <v>0.4034881310146829</v>
      </c>
    </row>
    <row r="13" spans="1:30" ht="12.75">
      <c r="A13" s="87" t="s">
        <v>204</v>
      </c>
      <c r="B13" s="92">
        <v>124.3</v>
      </c>
      <c r="C13" s="90"/>
      <c r="D13" s="84">
        <v>6.1</v>
      </c>
      <c r="E13" s="84">
        <v>3.08</v>
      </c>
      <c r="F13" s="84">
        <v>25</v>
      </c>
      <c r="G13" s="84">
        <v>11.6</v>
      </c>
      <c r="H13" s="84">
        <v>1.66</v>
      </c>
      <c r="I13" s="84">
        <v>38.5</v>
      </c>
      <c r="J13" s="84">
        <v>1.1</v>
      </c>
      <c r="K13" s="84">
        <v>164</v>
      </c>
      <c r="L13" s="84">
        <v>350</v>
      </c>
      <c r="M13" s="84">
        <v>8</v>
      </c>
      <c r="N13" s="84">
        <v>3.99</v>
      </c>
      <c r="O13" s="84">
        <v>0.3</v>
      </c>
      <c r="P13" s="84">
        <v>0.28</v>
      </c>
      <c r="Q13" s="77"/>
      <c r="R13" s="81">
        <f>(F13-AA13)/F13</f>
        <v>0.02174198316225258</v>
      </c>
      <c r="S13" s="81">
        <f>(AB13-N13)/N13</f>
        <v>-0.10679110681830839</v>
      </c>
      <c r="T13" s="81">
        <f>(O13-AC13)/O13</f>
        <v>0.1060224267511976</v>
      </c>
      <c r="U13" s="81">
        <f>(P13-AD13)/P13</f>
        <v>0.10920183123385291</v>
      </c>
      <c r="V13" s="77"/>
      <c r="W13" s="79">
        <f>((K13/(1.2*(343*L13*0.0001)^2)))</f>
        <v>0.9482836730472858</v>
      </c>
      <c r="X13" s="72">
        <f>J13*G13^2</f>
        <v>148.01600000000002</v>
      </c>
      <c r="Y13" s="72">
        <f>1000*I13/(G13^2)</f>
        <v>286.1177170035672</v>
      </c>
      <c r="Z13" s="72">
        <f>(G13^2)/H13</f>
        <v>81.06024096385542</v>
      </c>
      <c r="AA13" s="80">
        <f>(1/(2*PI()*SQRT(Y13*X13*0.000000001)))</f>
        <v>24.456450420943685</v>
      </c>
      <c r="AB13" s="78">
        <f>Z13/(2*PI()*AA13*X13/1000)</f>
        <v>3.5639034837949497</v>
      </c>
      <c r="AC13" s="78">
        <f>D13/(2*PI()*AA13*X13/1000)</f>
        <v>0.2681932719746407</v>
      </c>
      <c r="AD13" s="78">
        <f>AB13*AC13/(AB13+AC13)</f>
        <v>0.2494234872545212</v>
      </c>
    </row>
    <row r="14" spans="1:30" ht="12.75">
      <c r="A14" s="87" t="s">
        <v>205</v>
      </c>
      <c r="B14" s="92">
        <v>157.85</v>
      </c>
      <c r="C14" s="90"/>
      <c r="D14" s="84">
        <v>6.3</v>
      </c>
      <c r="E14" s="84">
        <v>1.95</v>
      </c>
      <c r="F14" s="84">
        <v>29</v>
      </c>
      <c r="G14" s="84">
        <v>10.7</v>
      </c>
      <c r="H14" s="84">
        <v>3.4</v>
      </c>
      <c r="I14" s="84">
        <v>36.1</v>
      </c>
      <c r="J14" s="84">
        <v>0.8</v>
      </c>
      <c r="K14" s="84">
        <v>129</v>
      </c>
      <c r="L14" s="84">
        <v>350</v>
      </c>
      <c r="M14" s="84">
        <v>14</v>
      </c>
      <c r="N14" s="84">
        <v>2.14</v>
      </c>
      <c r="O14" s="84">
        <v>0.4</v>
      </c>
      <c r="P14" s="84">
        <v>0.34</v>
      </c>
      <c r="Q14" s="77"/>
      <c r="R14" s="81">
        <f aca="true" t="shared" si="1" ref="R14:R23">(F14-AA14)/F14</f>
        <v>-0.021229941194539567</v>
      </c>
      <c r="S14" s="81">
        <f aca="true" t="shared" si="2" ref="S14:S23">(AB14-N14)/N14</f>
        <v>-0.07675722632322671</v>
      </c>
      <c r="T14" s="81">
        <f aca="true" t="shared" si="3" ref="T14:T23">(O14-AC14)/O14</f>
        <v>0.07589438260951015</v>
      </c>
      <c r="U14" s="81">
        <f aca="true" t="shared" si="4" ref="U14:U23">(P14-AD14)/P14</f>
        <v>0.08416164559559584</v>
      </c>
      <c r="V14" s="77"/>
      <c r="W14" s="79">
        <f aca="true" t="shared" si="5" ref="W14:W23">((K14/(1.2*(343*L14*0.0001)^2)))</f>
        <v>0.7459060598969504</v>
      </c>
      <c r="X14" s="72">
        <f aca="true" t="shared" si="6" ref="X14:X23">J14*G14^2</f>
        <v>91.59199999999998</v>
      </c>
      <c r="Y14" s="72">
        <f aca="true" t="shared" si="7" ref="Y14:Y23">1000*I14/(G14^2)</f>
        <v>315.31138090662944</v>
      </c>
      <c r="Z14" s="72">
        <f aca="true" t="shared" si="8" ref="Z14:Z23">(G14^2)/H14</f>
        <v>33.673529411764704</v>
      </c>
      <c r="AA14" s="80">
        <f aca="true" t="shared" si="9" ref="AA14:AA23">(1/(2*PI()*SQRT(Y14*X14*0.000000001)))</f>
        <v>29.615668294641647</v>
      </c>
      <c r="AB14" s="78">
        <f aca="true" t="shared" si="10" ref="AB14:AB23">Z14/(2*PI()*AA14*X14/1000)</f>
        <v>1.975739535668295</v>
      </c>
      <c r="AC14" s="78">
        <f aca="true" t="shared" si="11" ref="AC14:AC23">D14/(2*PI()*AA14*X14/1000)</f>
        <v>0.36964224695619596</v>
      </c>
      <c r="AD14" s="78">
        <f aca="true" t="shared" si="12" ref="AD14:AD23">AB14*AC14/(AB14+AC14)</f>
        <v>0.31138504049749743</v>
      </c>
    </row>
    <row r="15" spans="1:30" ht="12.75">
      <c r="A15" s="87" t="s">
        <v>206</v>
      </c>
      <c r="B15" s="92">
        <v>173.3</v>
      </c>
      <c r="C15" s="90"/>
      <c r="D15" s="84">
        <v>6.3</v>
      </c>
      <c r="E15" s="84">
        <v>1.83</v>
      </c>
      <c r="F15" s="84">
        <v>20</v>
      </c>
      <c r="G15" s="84">
        <v>10.7</v>
      </c>
      <c r="H15" s="84">
        <v>3.3</v>
      </c>
      <c r="I15" s="84">
        <v>53</v>
      </c>
      <c r="J15" s="84">
        <v>1.2</v>
      </c>
      <c r="K15" s="84">
        <v>171</v>
      </c>
      <c r="L15" s="84">
        <v>330</v>
      </c>
      <c r="M15" s="84">
        <v>14</v>
      </c>
      <c r="N15" s="84">
        <v>2.15</v>
      </c>
      <c r="O15" s="84">
        <v>0.39</v>
      </c>
      <c r="P15" s="84">
        <v>0.33</v>
      </c>
      <c r="Q15" s="77"/>
      <c r="R15" s="81">
        <f t="shared" si="1"/>
        <v>0.0021584633147934797</v>
      </c>
      <c r="S15" s="81">
        <f t="shared" si="2"/>
        <v>-0.06331209596538016</v>
      </c>
      <c r="T15" s="81">
        <f t="shared" si="3"/>
        <v>0.062317741813942805</v>
      </c>
      <c r="U15" s="81">
        <f t="shared" si="4"/>
        <v>0.062135004424236764</v>
      </c>
      <c r="V15" s="77"/>
      <c r="W15" s="79">
        <f t="shared" si="5"/>
        <v>1.1122406011981243</v>
      </c>
      <c r="X15" s="72">
        <f t="shared" si="6"/>
        <v>137.38799999999998</v>
      </c>
      <c r="Y15" s="72">
        <f t="shared" si="7"/>
        <v>462.92252598480223</v>
      </c>
      <c r="Z15" s="72">
        <f t="shared" si="8"/>
        <v>34.69393939393939</v>
      </c>
      <c r="AA15" s="80">
        <f t="shared" si="9"/>
        <v>19.95683073370413</v>
      </c>
      <c r="AB15" s="78">
        <f t="shared" si="10"/>
        <v>2.0138789936744326</v>
      </c>
      <c r="AC15" s="78">
        <f t="shared" si="11"/>
        <v>0.3656960806925623</v>
      </c>
      <c r="AD15" s="78">
        <f t="shared" si="12"/>
        <v>0.3094954485400019</v>
      </c>
    </row>
    <row r="16" spans="1:30" ht="12.75">
      <c r="A16" s="87" t="s">
        <v>207</v>
      </c>
      <c r="B16" s="92">
        <v>340.05</v>
      </c>
      <c r="C16" s="90"/>
      <c r="D16" s="84">
        <v>6.2</v>
      </c>
      <c r="E16" s="84">
        <v>0.81</v>
      </c>
      <c r="F16" s="84">
        <v>31</v>
      </c>
      <c r="G16" s="84">
        <v>10.9</v>
      </c>
      <c r="H16" s="84">
        <v>3.52</v>
      </c>
      <c r="I16" s="84">
        <v>42.4</v>
      </c>
      <c r="J16" s="84">
        <v>0.6</v>
      </c>
      <c r="K16" s="84">
        <v>87</v>
      </c>
      <c r="L16" s="84">
        <v>330</v>
      </c>
      <c r="M16" s="84">
        <v>14</v>
      </c>
      <c r="N16" s="84">
        <v>2.55</v>
      </c>
      <c r="O16" s="84">
        <v>0.47</v>
      </c>
      <c r="P16" s="84">
        <v>0.39</v>
      </c>
      <c r="Q16" s="77"/>
      <c r="R16" s="81">
        <f t="shared" si="1"/>
        <v>-0.01788774188635947</v>
      </c>
      <c r="S16" s="81">
        <f t="shared" si="2"/>
        <v>-0.06346403647367106</v>
      </c>
      <c r="T16" s="81">
        <f t="shared" si="3"/>
        <v>0.06664224815597872</v>
      </c>
      <c r="U16" s="81">
        <f t="shared" si="4"/>
        <v>0.04973648248980104</v>
      </c>
      <c r="V16" s="77"/>
      <c r="W16" s="79">
        <f t="shared" si="5"/>
        <v>0.5658767971008001</v>
      </c>
      <c r="X16" s="72">
        <f t="shared" si="6"/>
        <v>71.286</v>
      </c>
      <c r="Y16" s="72">
        <f t="shared" si="7"/>
        <v>356.87231714502144</v>
      </c>
      <c r="Z16" s="72">
        <f t="shared" si="8"/>
        <v>33.75284090909091</v>
      </c>
      <c r="AA16" s="80">
        <f t="shared" si="9"/>
        <v>31.554519998477144</v>
      </c>
      <c r="AB16" s="78">
        <f t="shared" si="10"/>
        <v>2.3881667069921386</v>
      </c>
      <c r="AC16" s="78">
        <f t="shared" si="11"/>
        <v>0.43867814336669</v>
      </c>
      <c r="AD16" s="78">
        <f t="shared" si="12"/>
        <v>0.3706027718289776</v>
      </c>
    </row>
    <row r="17" spans="1:30" ht="12.75">
      <c r="A17" s="87" t="s">
        <v>208</v>
      </c>
      <c r="B17" s="92">
        <v>353.7</v>
      </c>
      <c r="C17" s="90"/>
      <c r="D17" s="84">
        <v>6.3</v>
      </c>
      <c r="E17" s="84">
        <v>1.43</v>
      </c>
      <c r="F17" s="84">
        <v>20</v>
      </c>
      <c r="G17" s="84">
        <v>10.7</v>
      </c>
      <c r="H17" s="84">
        <v>3.21</v>
      </c>
      <c r="I17" s="84">
        <v>56.3</v>
      </c>
      <c r="J17" s="84">
        <v>1.1</v>
      </c>
      <c r="K17" s="84">
        <v>162</v>
      </c>
      <c r="L17" s="84">
        <v>330</v>
      </c>
      <c r="M17" s="84">
        <v>14</v>
      </c>
      <c r="N17" s="84">
        <v>2.34</v>
      </c>
      <c r="O17" s="84">
        <v>0.41</v>
      </c>
      <c r="P17" s="84">
        <v>0.35</v>
      </c>
      <c r="Q17" s="77"/>
      <c r="R17" s="81">
        <f t="shared" si="1"/>
        <v>-0.011205902526480394</v>
      </c>
      <c r="S17" s="81">
        <f t="shared" si="2"/>
        <v>-0.04756145032645044</v>
      </c>
      <c r="T17" s="81">
        <f t="shared" si="3"/>
        <v>0.039832521133749646</v>
      </c>
      <c r="U17" s="81">
        <f t="shared" si="4"/>
        <v>0.044081531876491525</v>
      </c>
      <c r="V17" s="77"/>
      <c r="W17" s="79">
        <f t="shared" si="5"/>
        <v>1.0537016221876967</v>
      </c>
      <c r="X17" s="72">
        <f t="shared" si="6"/>
        <v>125.939</v>
      </c>
      <c r="Y17" s="72">
        <f t="shared" si="7"/>
        <v>491.7460040178182</v>
      </c>
      <c r="Z17" s="72">
        <f t="shared" si="8"/>
        <v>35.666666666666664</v>
      </c>
      <c r="AA17" s="80">
        <f t="shared" si="9"/>
        <v>20.224118050529608</v>
      </c>
      <c r="AB17" s="78">
        <f t="shared" si="10"/>
        <v>2.228706206236106</v>
      </c>
      <c r="AC17" s="78">
        <f t="shared" si="11"/>
        <v>0.3936686663351626</v>
      </c>
      <c r="AD17" s="78">
        <f t="shared" si="12"/>
        <v>0.33457146384322795</v>
      </c>
    </row>
    <row r="18" spans="1:30" ht="12.75">
      <c r="A18" s="87" t="s">
        <v>191</v>
      </c>
      <c r="B18" s="92"/>
      <c r="C18" s="90"/>
      <c r="Q18" s="77"/>
      <c r="R18" s="81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1" t="e">
        <f t="shared" si="4"/>
        <v>#DIV/0!</v>
      </c>
      <c r="V18" s="77"/>
      <c r="W18" s="79" t="e">
        <f t="shared" si="5"/>
        <v>#DIV/0!</v>
      </c>
      <c r="X18" s="72">
        <f t="shared" si="6"/>
        <v>0</v>
      </c>
      <c r="Y18" s="72" t="e">
        <f t="shared" si="7"/>
        <v>#DIV/0!</v>
      </c>
      <c r="Z18" s="72" t="e">
        <f t="shared" si="8"/>
        <v>#DIV/0!</v>
      </c>
      <c r="AA18" s="80" t="e">
        <f t="shared" si="9"/>
        <v>#DIV/0!</v>
      </c>
      <c r="AB18" s="78" t="e">
        <f t="shared" si="10"/>
        <v>#DIV/0!</v>
      </c>
      <c r="AC18" s="78" t="e">
        <f t="shared" si="11"/>
        <v>#DIV/0!</v>
      </c>
      <c r="AD18" s="78" t="e">
        <f t="shared" si="12"/>
        <v>#DIV/0!</v>
      </c>
    </row>
    <row r="19" spans="1:30" ht="12.75">
      <c r="A19" s="87" t="s">
        <v>191</v>
      </c>
      <c r="B19" s="92"/>
      <c r="C19" s="90"/>
      <c r="Q19" s="77"/>
      <c r="R19" s="81" t="e">
        <f>(F19-AA19)/F19</f>
        <v>#DIV/0!</v>
      </c>
      <c r="S19" s="81" t="e">
        <f>(AB19-N19)/N19</f>
        <v>#DIV/0!</v>
      </c>
      <c r="T19" s="81" t="e">
        <f>(O19-AC19)/O19</f>
        <v>#DIV/0!</v>
      </c>
      <c r="U19" s="81" t="e">
        <f>(P19-AD19)/P19</f>
        <v>#DIV/0!</v>
      </c>
      <c r="V19" s="77"/>
      <c r="W19" s="79" t="e">
        <f>((K19/(1.2*(343*L19*0.0001)^2)))</f>
        <v>#DIV/0!</v>
      </c>
      <c r="X19" s="72">
        <f>J19*G19^2</f>
        <v>0</v>
      </c>
      <c r="Y19" s="72" t="e">
        <f>1000*I19/(G19^2)</f>
        <v>#DIV/0!</v>
      </c>
      <c r="Z19" s="72" t="e">
        <f>(G19^2)/H19</f>
        <v>#DIV/0!</v>
      </c>
      <c r="AA19" s="80" t="e">
        <f>(1/(2*PI()*SQRT(Y19*X19*0.000000001)))</f>
        <v>#DIV/0!</v>
      </c>
      <c r="AB19" s="78" t="e">
        <f>Z19/(2*PI()*AA19*X19/1000)</f>
        <v>#DIV/0!</v>
      </c>
      <c r="AC19" s="78" t="e">
        <f>D19/(2*PI()*AA19*X19/1000)</f>
        <v>#DIV/0!</v>
      </c>
      <c r="AD19" s="78" t="e">
        <f>AB19*AC19/(AB19+AC19)</f>
        <v>#DIV/0!</v>
      </c>
    </row>
    <row r="20" spans="1:30" ht="12.75">
      <c r="A20" s="87" t="s">
        <v>191</v>
      </c>
      <c r="B20" s="92"/>
      <c r="C20" s="90"/>
      <c r="Q20" s="77"/>
      <c r="R20" s="81" t="e">
        <f>(F20-AA20)/F20</f>
        <v>#DIV/0!</v>
      </c>
      <c r="S20" s="81" t="e">
        <f>(AB20-N20)/N20</f>
        <v>#DIV/0!</v>
      </c>
      <c r="T20" s="81" t="e">
        <f>(O20-AC20)/O20</f>
        <v>#DIV/0!</v>
      </c>
      <c r="U20" s="81" t="e">
        <f>(P20-AD20)/P20</f>
        <v>#DIV/0!</v>
      </c>
      <c r="V20" s="77"/>
      <c r="W20" s="79" t="e">
        <f>((K20/(1.2*(343*L20*0.0001)^2)))</f>
        <v>#DIV/0!</v>
      </c>
      <c r="X20" s="72">
        <f>J20*G20^2</f>
        <v>0</v>
      </c>
      <c r="Y20" s="72" t="e">
        <f>1000*I20/(G20^2)</f>
        <v>#DIV/0!</v>
      </c>
      <c r="Z20" s="72" t="e">
        <f>(G20^2)/H20</f>
        <v>#DIV/0!</v>
      </c>
      <c r="AA20" s="80" t="e">
        <f>(1/(2*PI()*SQRT(Y20*X20*0.000000001)))</f>
        <v>#DIV/0!</v>
      </c>
      <c r="AB20" s="78" t="e">
        <f>Z20/(2*PI()*AA20*X20/1000)</f>
        <v>#DIV/0!</v>
      </c>
      <c r="AC20" s="78" t="e">
        <f>D20/(2*PI()*AA20*X20/1000)</f>
        <v>#DIV/0!</v>
      </c>
      <c r="AD20" s="78" t="e">
        <f>AB20*AC20/(AB20+AC20)</f>
        <v>#DIV/0!</v>
      </c>
    </row>
    <row r="21" spans="1:30" ht="12.75">
      <c r="A21" s="87" t="s">
        <v>191</v>
      </c>
      <c r="B21" s="92"/>
      <c r="C21" s="90"/>
      <c r="Q21" s="77"/>
      <c r="R21" s="81" t="e">
        <f>(F21-AA21)/F21</f>
        <v>#DIV/0!</v>
      </c>
      <c r="S21" s="81" t="e">
        <f>(AB21-N21)/N21</f>
        <v>#DIV/0!</v>
      </c>
      <c r="T21" s="81" t="e">
        <f>(O21-AC21)/O21</f>
        <v>#DIV/0!</v>
      </c>
      <c r="U21" s="81" t="e">
        <f>(P21-AD21)/P21</f>
        <v>#DIV/0!</v>
      </c>
      <c r="V21" s="77"/>
      <c r="W21" s="79" t="e">
        <f>((K21/(1.2*(343*L21*0.0001)^2)))</f>
        <v>#DIV/0!</v>
      </c>
      <c r="X21" s="72">
        <f>J21*G21^2</f>
        <v>0</v>
      </c>
      <c r="Y21" s="72" t="e">
        <f>1000*I21/(G21^2)</f>
        <v>#DIV/0!</v>
      </c>
      <c r="Z21" s="72" t="e">
        <f>(G21^2)/H21</f>
        <v>#DIV/0!</v>
      </c>
      <c r="AA21" s="80" t="e">
        <f>(1/(2*PI()*SQRT(Y21*X21*0.000000001)))</f>
        <v>#DIV/0!</v>
      </c>
      <c r="AB21" s="78" t="e">
        <f>Z21/(2*PI()*AA21*X21/1000)</f>
        <v>#DIV/0!</v>
      </c>
      <c r="AC21" s="78" t="e">
        <f>D21/(2*PI()*AA21*X21/1000)</f>
        <v>#DIV/0!</v>
      </c>
      <c r="AD21" s="78" t="e">
        <f>AB21*AC21/(AB21+AC21)</f>
        <v>#DIV/0!</v>
      </c>
    </row>
    <row r="22" spans="1:30" ht="12.75">
      <c r="A22" s="87" t="s">
        <v>191</v>
      </c>
      <c r="B22" s="92"/>
      <c r="C22" s="90"/>
      <c r="Q22" s="77"/>
      <c r="R22" s="81" t="e">
        <f>(F22-AA22)/F22</f>
        <v>#DIV/0!</v>
      </c>
      <c r="S22" s="81" t="e">
        <f>(AB22-N22)/N22</f>
        <v>#DIV/0!</v>
      </c>
      <c r="T22" s="81" t="e">
        <f>(O22-AC22)/O22</f>
        <v>#DIV/0!</v>
      </c>
      <c r="U22" s="81" t="e">
        <f>(P22-AD22)/P22</f>
        <v>#DIV/0!</v>
      </c>
      <c r="V22" s="77"/>
      <c r="W22" s="79" t="e">
        <f>((K22/(1.2*(343*L22*0.0001)^2)))</f>
        <v>#DIV/0!</v>
      </c>
      <c r="X22" s="72">
        <f>J22*G22^2</f>
        <v>0</v>
      </c>
      <c r="Y22" s="72" t="e">
        <f>1000*I22/(G22^2)</f>
        <v>#DIV/0!</v>
      </c>
      <c r="Z22" s="72" t="e">
        <f>(G22^2)/H22</f>
        <v>#DIV/0!</v>
      </c>
      <c r="AA22" s="80" t="e">
        <f>(1/(2*PI()*SQRT(Y22*X22*0.000000001)))</f>
        <v>#DIV/0!</v>
      </c>
      <c r="AB22" s="78" t="e">
        <f>Z22/(2*PI()*AA22*X22/1000)</f>
        <v>#DIV/0!</v>
      </c>
      <c r="AC22" s="78" t="e">
        <f>D22/(2*PI()*AA22*X22/1000)</f>
        <v>#DIV/0!</v>
      </c>
      <c r="AD22" s="78" t="e">
        <f>AB22*AC22/(AB22+AC22)</f>
        <v>#DIV/0!</v>
      </c>
    </row>
    <row r="23" spans="1:30" ht="12.75">
      <c r="A23" s="87" t="s">
        <v>191</v>
      </c>
      <c r="B23" s="92"/>
      <c r="C23" s="90"/>
      <c r="Q23" s="77"/>
      <c r="R23" s="81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1" t="e">
        <f t="shared" si="4"/>
        <v>#DIV/0!</v>
      </c>
      <c r="V23" s="77"/>
      <c r="W23" s="79" t="e">
        <f t="shared" si="5"/>
        <v>#DIV/0!</v>
      </c>
      <c r="X23" s="72">
        <f t="shared" si="6"/>
        <v>0</v>
      </c>
      <c r="Y23" s="72" t="e">
        <f t="shared" si="7"/>
        <v>#DIV/0!</v>
      </c>
      <c r="Z23" s="72" t="e">
        <f t="shared" si="8"/>
        <v>#DIV/0!</v>
      </c>
      <c r="AA23" s="80" t="e">
        <f t="shared" si="9"/>
        <v>#DIV/0!</v>
      </c>
      <c r="AB23" s="78" t="e">
        <f t="shared" si="10"/>
        <v>#DIV/0!</v>
      </c>
      <c r="AC23" s="78" t="e">
        <f t="shared" si="11"/>
        <v>#DIV/0!</v>
      </c>
      <c r="AD23" s="78" t="e">
        <f t="shared" si="12"/>
        <v>#DIV/0!</v>
      </c>
    </row>
    <row r="24" spans="1:30" ht="12.75">
      <c r="A24" s="87" t="s">
        <v>191</v>
      </c>
      <c r="B24" s="92"/>
      <c r="C24" s="90"/>
      <c r="Q24" s="77"/>
      <c r="R24" s="81" t="e">
        <f>(F24-AA24)/F24</f>
        <v>#DIV/0!</v>
      </c>
      <c r="S24" s="81" t="e">
        <f>(AB24-N24)/N24</f>
        <v>#DIV/0!</v>
      </c>
      <c r="T24" s="81" t="e">
        <f>(O24-AC24)/O24</f>
        <v>#DIV/0!</v>
      </c>
      <c r="U24" s="81" t="e">
        <f>(P24-AD24)/P24</f>
        <v>#DIV/0!</v>
      </c>
      <c r="V24" s="77"/>
      <c r="W24" s="79" t="e">
        <f>((K24/(1.2*(343*L24*0.0001)^2)))</f>
        <v>#DIV/0!</v>
      </c>
      <c r="X24" s="72">
        <f>J24*G24^2</f>
        <v>0</v>
      </c>
      <c r="Y24" s="72" t="e">
        <f>1000*I24/(G24^2)</f>
        <v>#DIV/0!</v>
      </c>
      <c r="Z24" s="72" t="e">
        <f>(G24^2)/H24</f>
        <v>#DIV/0!</v>
      </c>
      <c r="AA24" s="80" t="e">
        <f>(1/(2*PI()*SQRT(Y24*X24*0.000000001)))</f>
        <v>#DIV/0!</v>
      </c>
      <c r="AB24" s="78" t="e">
        <f>Z24/(2*PI()*AA24*X24/1000)</f>
        <v>#DIV/0!</v>
      </c>
      <c r="AC24" s="78" t="e">
        <f>D24/(2*PI()*AA24*X24/1000)</f>
        <v>#DIV/0!</v>
      </c>
      <c r="AD24" s="78" t="e">
        <f>AB24*AC24/(AB24+AC24)</f>
        <v>#DIV/0!</v>
      </c>
    </row>
    <row r="25" s="77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1" customWidth="1"/>
    <col min="3" max="3" width="9.140625" style="1" customWidth="1"/>
    <col min="6" max="6" width="9.140625" style="51" customWidth="1"/>
    <col min="7" max="7" width="12.421875" style="1" bestFit="1" customWidth="1"/>
  </cols>
  <sheetData>
    <row r="2" spans="2:13" ht="12.75">
      <c r="B2" s="58" t="s">
        <v>134</v>
      </c>
      <c r="J2" s="36" t="s">
        <v>120</v>
      </c>
      <c r="M2" s="37" t="s">
        <v>121</v>
      </c>
    </row>
    <row r="3" ht="12.75">
      <c r="B3" s="2" t="s">
        <v>123</v>
      </c>
    </row>
    <row r="4" ht="12.75">
      <c r="B4" s="2"/>
    </row>
    <row r="5" ht="12.75">
      <c r="B5" s="23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4">
        <v>37.1</v>
      </c>
      <c r="D13" s="14" t="s">
        <v>14</v>
      </c>
    </row>
    <row r="14" spans="2:4" ht="12.75">
      <c r="B14" s="51" t="s">
        <v>57</v>
      </c>
      <c r="C14" s="52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4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5"/>
    </row>
    <row r="19" spans="2:3" ht="12.75">
      <c r="B19" t="s">
        <v>109</v>
      </c>
      <c r="C19" s="35"/>
    </row>
    <row r="20" spans="2:4" ht="12.75">
      <c r="B20" s="4" t="s">
        <v>39</v>
      </c>
      <c r="C20" s="34">
        <f>C11/(2*C12)</f>
        <v>43.44661009297996</v>
      </c>
      <c r="D20" s="6" t="s">
        <v>14</v>
      </c>
    </row>
    <row r="21" spans="2:4" ht="12.75">
      <c r="B21" s="26" t="s">
        <v>44</v>
      </c>
      <c r="C21" s="13" t="e">
        <f>C20*SQRT(-1+(2*C12)^2)</f>
        <v>#NUM!</v>
      </c>
      <c r="D21" s="14" t="s">
        <v>14</v>
      </c>
    </row>
    <row r="23" spans="1:2" ht="12.75">
      <c r="A23" s="19" t="s">
        <v>57</v>
      </c>
      <c r="B23" t="s">
        <v>122</v>
      </c>
    </row>
    <row r="24" spans="1:4" ht="12.75">
      <c r="A24" s="19"/>
      <c r="B24" s="4" t="s">
        <v>118</v>
      </c>
      <c r="C24" s="5">
        <v>10</v>
      </c>
      <c r="D24" s="6" t="s">
        <v>14</v>
      </c>
    </row>
    <row r="25" spans="1:4" ht="12.75">
      <c r="A25" s="19"/>
      <c r="B25" s="12" t="s">
        <v>119</v>
      </c>
      <c r="C25" s="21">
        <v>8</v>
      </c>
      <c r="D25" s="14" t="s">
        <v>112</v>
      </c>
    </row>
    <row r="28" spans="2:9" ht="12.75">
      <c r="B28" t="s">
        <v>117</v>
      </c>
      <c r="H28" s="23" t="s">
        <v>136</v>
      </c>
      <c r="I28" s="1"/>
    </row>
    <row r="29" spans="2:10" ht="12.75">
      <c r="B29" s="4" t="s">
        <v>111</v>
      </c>
      <c r="C29" s="24" t="s">
        <v>113</v>
      </c>
      <c r="D29" s="24" t="s">
        <v>114</v>
      </c>
      <c r="E29" s="24" t="s">
        <v>115</v>
      </c>
      <c r="F29" s="57" t="s">
        <v>116</v>
      </c>
      <c r="H29" s="4" t="s">
        <v>0</v>
      </c>
      <c r="I29" s="24">
        <f>C6</f>
        <v>3.5</v>
      </c>
      <c r="J29" s="6" t="s">
        <v>12</v>
      </c>
    </row>
    <row r="30" spans="2:10" ht="12.75">
      <c r="B30" s="12" t="s">
        <v>14</v>
      </c>
      <c r="C30" s="29" t="s">
        <v>12</v>
      </c>
      <c r="D30" s="29" t="s">
        <v>12</v>
      </c>
      <c r="E30" s="29" t="s">
        <v>12</v>
      </c>
      <c r="F30" s="42" t="s">
        <v>12</v>
      </c>
      <c r="H30" s="7" t="s">
        <v>1</v>
      </c>
      <c r="I30" s="53" t="s">
        <v>108</v>
      </c>
      <c r="J30" s="9" t="s">
        <v>13</v>
      </c>
    </row>
    <row r="31" spans="2:10" ht="12.75">
      <c r="B31" s="56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0">
        <f>1000000000/(I32*(2*PI()*C11)^2)</f>
        <v>558.8150479567614</v>
      </c>
      <c r="J31" s="9" t="s">
        <v>24</v>
      </c>
    </row>
    <row r="32" spans="2:10" ht="12.75">
      <c r="B32" s="55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0">
        <f>1000*(C6*I33/(C6+I33))/(C12*2*PI()*C11)</f>
        <v>34.530277525017226</v>
      </c>
      <c r="J32" s="9" t="s">
        <v>13</v>
      </c>
    </row>
    <row r="33" spans="2:10" ht="12.75">
      <c r="B33" s="55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0">
        <f>C7-C6</f>
        <v>51.6</v>
      </c>
      <c r="J33" s="9" t="s">
        <v>12</v>
      </c>
    </row>
    <row r="34" spans="2:10" ht="12.75">
      <c r="B34" s="55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5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5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5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5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5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5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5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5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5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5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5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5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5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5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5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5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5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5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5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5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5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5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5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5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5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5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5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5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5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5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5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5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Alister Sibbald</cp:lastModifiedBy>
  <cp:lastPrinted>2010-06-22T11:58:47Z</cp:lastPrinted>
  <dcterms:created xsi:type="dcterms:W3CDTF">2001-07-16T01:21:36Z</dcterms:created>
  <dcterms:modified xsi:type="dcterms:W3CDTF">2010-06-22T13:09:10Z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798757969</vt:i4>
  </property>
  <property fmtid="{D5CDD505-2E9C-101B-9397-08002B2CF9AE}" pid="3" name="_NewReviewCycle">
    <vt:lpwstr/>
  </property>
  <property fmtid="{D5CDD505-2E9C-101B-9397-08002B2CF9AE}" pid="4" name="_EmailSubject">
    <vt:lpwstr>Corrected Closed-Box</vt:lpwstr>
  </property>
  <property fmtid="{D5CDD505-2E9C-101B-9397-08002B2CF9AE}" pid="5" name="_AuthorEmail">
    <vt:lpwstr>Alister.Sibbald@rbs.com</vt:lpwstr>
  </property>
  <property fmtid="{D5CDD505-2E9C-101B-9397-08002B2CF9AE}" pid="6" name="_AuthorEmailDisplayName">
    <vt:lpwstr>Sibbald, Alister, GBM</vt:lpwstr>
  </property>
  <property fmtid="{D5CDD505-2E9C-101B-9397-08002B2CF9AE}" pid="7" name="_PreviousAdHocReviewCycleID">
    <vt:i4>-1032728126</vt:i4>
  </property>
</Properties>
</file>